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Balkauskaite\Desktop\ELEKTR\"/>
    </mc:Choice>
  </mc:AlternateContent>
  <bookViews>
    <workbookView xWindow="0" yWindow="0" windowWidth="28800" windowHeight="12735"/>
  </bookViews>
  <sheets>
    <sheet name="1 lent tesinys" sheetId="2" r:id="rId1"/>
    <sheet name="1 lentele" sheetId="5" r:id="rId2"/>
    <sheet name="2 lentele" sheetId="3" r:id="rId3"/>
    <sheet name="Paskola" sheetId="7" r:id="rId4"/>
  </sheets>
  <definedNames>
    <definedName name="_xlnm._FilterDatabase" localSheetId="1" hidden="1">'1 lentele'!$G$1:$G$288</definedName>
    <definedName name="_xlnm.Print_Area" localSheetId="1">'1 lentele'!$A$1:$U$262</definedName>
    <definedName name="_xlnm.Print_Titles" localSheetId="1">'1 lentele'!$8:$10</definedName>
  </definedNames>
  <calcPr calcId="152511" fullCalcOnLoad="1"/>
</workbook>
</file>

<file path=xl/calcChain.xml><?xml version="1.0" encoding="utf-8"?>
<calcChain xmlns="http://schemas.openxmlformats.org/spreadsheetml/2006/main">
  <c r="L29" i="5" l="1"/>
  <c r="O51" i="5"/>
  <c r="L51" i="5"/>
  <c r="O26" i="5"/>
  <c r="L26" i="5"/>
  <c r="O130" i="5"/>
  <c r="I282" i="5"/>
  <c r="J282" i="5"/>
  <c r="M282" i="5"/>
  <c r="N282" i="5"/>
  <c r="I280" i="5"/>
  <c r="J280" i="5"/>
  <c r="M280" i="5"/>
  <c r="N280" i="5"/>
  <c r="I273" i="5"/>
  <c r="J273" i="5"/>
  <c r="M273" i="5"/>
  <c r="N273" i="5"/>
  <c r="O122" i="5"/>
  <c r="E48" i="7"/>
  <c r="P150" i="5"/>
  <c r="P149" i="5"/>
  <c r="P152" i="5"/>
  <c r="I257" i="5"/>
  <c r="J257" i="5"/>
  <c r="M257" i="5"/>
  <c r="N257" i="5"/>
  <c r="P257" i="5"/>
  <c r="Q257" i="5"/>
  <c r="O256" i="5"/>
  <c r="L256" i="5"/>
  <c r="K256" i="5"/>
  <c r="H256" i="5"/>
  <c r="O255" i="5"/>
  <c r="L255" i="5"/>
  <c r="K255" i="5"/>
  <c r="H255" i="5"/>
  <c r="O254" i="5"/>
  <c r="O257" i="5"/>
  <c r="K254" i="5"/>
  <c r="I258" i="5"/>
  <c r="H258" i="5"/>
  <c r="H259" i="5"/>
  <c r="O258" i="5"/>
  <c r="O259" i="5"/>
  <c r="N259" i="5"/>
  <c r="K259" i="5"/>
  <c r="J259" i="5"/>
  <c r="C38" i="2"/>
  <c r="E38" i="2"/>
  <c r="C37" i="2"/>
  <c r="C36" i="2"/>
  <c r="C28" i="2"/>
  <c r="C25" i="2"/>
  <c r="D25" i="2"/>
  <c r="C24" i="2"/>
  <c r="D24" i="2"/>
  <c r="C15" i="2"/>
  <c r="U42" i="5"/>
  <c r="T42" i="5"/>
  <c r="S42" i="5"/>
  <c r="Q265" i="5"/>
  <c r="H24" i="2"/>
  <c r="P265" i="5"/>
  <c r="M265" i="5"/>
  <c r="K79" i="5"/>
  <c r="Q144" i="5"/>
  <c r="P144" i="5"/>
  <c r="O144" i="5"/>
  <c r="N144" i="5"/>
  <c r="M144" i="5"/>
  <c r="K144" i="5"/>
  <c r="J144" i="5"/>
  <c r="I144" i="5"/>
  <c r="Q143" i="5"/>
  <c r="P143" i="5"/>
  <c r="O142" i="5"/>
  <c r="L142" i="5"/>
  <c r="K142" i="5"/>
  <c r="O162" i="5"/>
  <c r="K162" i="5"/>
  <c r="N162" i="5"/>
  <c r="M162" i="5"/>
  <c r="J162" i="5"/>
  <c r="I162" i="5"/>
  <c r="K22" i="5"/>
  <c r="H22" i="5"/>
  <c r="O22" i="5"/>
  <c r="L22" i="5"/>
  <c r="Q32" i="5"/>
  <c r="P32" i="5"/>
  <c r="Q33" i="5"/>
  <c r="P33" i="5"/>
  <c r="N69" i="5"/>
  <c r="M69" i="5"/>
  <c r="J69" i="5"/>
  <c r="I69" i="5"/>
  <c r="L67" i="5"/>
  <c r="H67" i="5"/>
  <c r="O33" i="5"/>
  <c r="N33" i="5"/>
  <c r="M33" i="5"/>
  <c r="I33" i="5"/>
  <c r="J33" i="5"/>
  <c r="K33" i="5"/>
  <c r="L31" i="5"/>
  <c r="H31" i="5"/>
  <c r="L21" i="5"/>
  <c r="L20" i="5"/>
  <c r="H21" i="5"/>
  <c r="H20" i="5"/>
  <c r="D39" i="2"/>
  <c r="D40" i="2"/>
  <c r="D16" i="2"/>
  <c r="D17" i="2"/>
  <c r="D18" i="2"/>
  <c r="D19" i="2"/>
  <c r="D21" i="2"/>
  <c r="D22" i="2"/>
  <c r="D23" i="2"/>
  <c r="D26" i="2"/>
  <c r="D27" i="2"/>
  <c r="D30" i="2"/>
  <c r="D31" i="2"/>
  <c r="D32" i="2"/>
  <c r="D33" i="2"/>
  <c r="D34" i="2"/>
  <c r="D11" i="2"/>
  <c r="E39" i="2"/>
  <c r="E40" i="2"/>
  <c r="E31" i="2"/>
  <c r="E32" i="2"/>
  <c r="E33" i="2"/>
  <c r="E34" i="2"/>
  <c r="E26" i="2"/>
  <c r="E27" i="2"/>
  <c r="E18" i="2"/>
  <c r="E19" i="2"/>
  <c r="E21" i="2"/>
  <c r="E22" i="2"/>
  <c r="E23" i="2"/>
  <c r="E16" i="2"/>
  <c r="C41" i="2"/>
  <c r="D41" i="2"/>
  <c r="D35" i="2"/>
  <c r="D37" i="2"/>
  <c r="D28" i="2"/>
  <c r="C20" i="2"/>
  <c r="D20" i="2"/>
  <c r="D15" i="2"/>
  <c r="C14" i="2"/>
  <c r="D14" i="2"/>
  <c r="C13" i="2"/>
  <c r="D13" i="2"/>
  <c r="C12" i="2"/>
  <c r="D12" i="2"/>
  <c r="C10" i="2"/>
  <c r="D10" i="2"/>
  <c r="C9" i="2"/>
  <c r="C29" i="2"/>
  <c r="D29" i="2"/>
  <c r="P185" i="5"/>
  <c r="P172" i="5"/>
  <c r="P170" i="5"/>
  <c r="Q166" i="5"/>
  <c r="Q156" i="5"/>
  <c r="Q152" i="5"/>
  <c r="Q132" i="5"/>
  <c r="P132" i="5"/>
  <c r="P80" i="5"/>
  <c r="Q76" i="5"/>
  <c r="P76" i="5"/>
  <c r="I284" i="5"/>
  <c r="J284" i="5"/>
  <c r="M284" i="5"/>
  <c r="N284" i="5"/>
  <c r="O284" i="5"/>
  <c r="Q284" i="5"/>
  <c r="H20" i="2"/>
  <c r="H15" i="2"/>
  <c r="J276" i="5"/>
  <c r="N276" i="5"/>
  <c r="P276" i="5"/>
  <c r="G30" i="2"/>
  <c r="G29" i="2"/>
  <c r="Q276" i="5"/>
  <c r="H30" i="2"/>
  <c r="H29" i="2"/>
  <c r="I275" i="5"/>
  <c r="J275" i="5"/>
  <c r="M275" i="5"/>
  <c r="N275" i="5"/>
  <c r="O275" i="5"/>
  <c r="P275" i="5"/>
  <c r="G28" i="2"/>
  <c r="Q275" i="5"/>
  <c r="Q220" i="5"/>
  <c r="P220" i="5"/>
  <c r="O220" i="5"/>
  <c r="N220" i="5"/>
  <c r="M220" i="5"/>
  <c r="K220" i="5"/>
  <c r="J220" i="5"/>
  <c r="I220" i="5"/>
  <c r="Q216" i="5"/>
  <c r="P216" i="5"/>
  <c r="O216" i="5"/>
  <c r="N216" i="5"/>
  <c r="M216" i="5"/>
  <c r="K216" i="5"/>
  <c r="J216" i="5"/>
  <c r="I216" i="5"/>
  <c r="Q107" i="5"/>
  <c r="P107" i="5"/>
  <c r="N107" i="5"/>
  <c r="M107" i="5"/>
  <c r="J107" i="5"/>
  <c r="I107" i="5"/>
  <c r="K77" i="5"/>
  <c r="H211" i="5"/>
  <c r="H212" i="5"/>
  <c r="Q212" i="5"/>
  <c r="P212" i="5"/>
  <c r="O212" i="5"/>
  <c r="N212" i="5"/>
  <c r="M212" i="5"/>
  <c r="L212" i="5"/>
  <c r="K212" i="5"/>
  <c r="J212" i="5"/>
  <c r="I212" i="5"/>
  <c r="H213" i="5"/>
  <c r="L213" i="5"/>
  <c r="L108" i="5"/>
  <c r="H108" i="5"/>
  <c r="L106" i="5"/>
  <c r="H106" i="5"/>
  <c r="K184" i="5"/>
  <c r="L184" i="5"/>
  <c r="Q185" i="5"/>
  <c r="Q221" i="5"/>
  <c r="O185" i="5"/>
  <c r="N185" i="5"/>
  <c r="M185" i="5"/>
  <c r="J185" i="5"/>
  <c r="I185" i="5"/>
  <c r="I221" i="5"/>
  <c r="H247" i="5"/>
  <c r="Q246" i="5"/>
  <c r="O246" i="5"/>
  <c r="N246" i="5"/>
  <c r="M246" i="5"/>
  <c r="K246" i="5"/>
  <c r="J246" i="5"/>
  <c r="I246" i="5"/>
  <c r="L245" i="5"/>
  <c r="H245" i="5"/>
  <c r="K131" i="5"/>
  <c r="H138" i="5"/>
  <c r="H137" i="5"/>
  <c r="H136" i="5"/>
  <c r="H135" i="5"/>
  <c r="K78" i="5"/>
  <c r="H134" i="5"/>
  <c r="H133" i="5"/>
  <c r="L131" i="5"/>
  <c r="N132" i="5"/>
  <c r="M132" i="5"/>
  <c r="J132" i="5"/>
  <c r="I132" i="5"/>
  <c r="Q80" i="5"/>
  <c r="O80" i="5"/>
  <c r="N80" i="5"/>
  <c r="M80" i="5"/>
  <c r="J80" i="5"/>
  <c r="I80" i="5"/>
  <c r="L78" i="5"/>
  <c r="L79" i="5"/>
  <c r="K252" i="5"/>
  <c r="K253" i="5"/>
  <c r="U80" i="5"/>
  <c r="L102" i="5"/>
  <c r="K45" i="5"/>
  <c r="H45" i="5"/>
  <c r="H47" i="5"/>
  <c r="K48" i="5"/>
  <c r="H48" i="5"/>
  <c r="L234" i="5"/>
  <c r="L219" i="5"/>
  <c r="H219" i="5"/>
  <c r="L18" i="5"/>
  <c r="H18" i="5"/>
  <c r="H119" i="5"/>
  <c r="H120" i="5"/>
  <c r="H118" i="5"/>
  <c r="H121" i="5"/>
  <c r="L119" i="5"/>
  <c r="L120" i="5"/>
  <c r="L215" i="5"/>
  <c r="H214" i="5"/>
  <c r="H215" i="5"/>
  <c r="H216" i="5"/>
  <c r="O167" i="5"/>
  <c r="L167" i="5"/>
  <c r="K167" i="5"/>
  <c r="K170" i="5"/>
  <c r="O196" i="5"/>
  <c r="O197" i="5"/>
  <c r="K196" i="5"/>
  <c r="Q197" i="5"/>
  <c r="P197" i="5"/>
  <c r="N197" i="5"/>
  <c r="M197" i="5"/>
  <c r="M221" i="5"/>
  <c r="J197" i="5"/>
  <c r="I197" i="5"/>
  <c r="L233" i="5"/>
  <c r="L218" i="5"/>
  <c r="L214" i="5"/>
  <c r="D41" i="7"/>
  <c r="D34" i="7"/>
  <c r="C34" i="7"/>
  <c r="L118" i="5"/>
  <c r="L121" i="5"/>
  <c r="D24" i="7"/>
  <c r="L228" i="5"/>
  <c r="H228" i="5"/>
  <c r="M276" i="5"/>
  <c r="I230" i="5"/>
  <c r="U231" i="5"/>
  <c r="I18" i="3"/>
  <c r="T231" i="5"/>
  <c r="H18" i="3"/>
  <c r="S231" i="5"/>
  <c r="G18" i="3"/>
  <c r="Q231" i="5"/>
  <c r="P231" i="5"/>
  <c r="N231" i="5"/>
  <c r="J231" i="5"/>
  <c r="H102" i="5"/>
  <c r="U103" i="5"/>
  <c r="I12" i="3"/>
  <c r="T103" i="5"/>
  <c r="H12" i="3"/>
  <c r="S103" i="5"/>
  <c r="G12" i="3"/>
  <c r="Q103" i="5"/>
  <c r="P103" i="5"/>
  <c r="O103" i="5"/>
  <c r="N103" i="5"/>
  <c r="M103" i="5"/>
  <c r="M112" i="5"/>
  <c r="J103" i="5"/>
  <c r="I103" i="5"/>
  <c r="I112" i="5"/>
  <c r="K100" i="5"/>
  <c r="L241" i="5"/>
  <c r="H241" i="5"/>
  <c r="Q242" i="5"/>
  <c r="P242" i="5"/>
  <c r="N242" i="5"/>
  <c r="M242" i="5"/>
  <c r="J242" i="5"/>
  <c r="I242" i="5"/>
  <c r="Q61" i="5"/>
  <c r="P61" i="5"/>
  <c r="N61" i="5"/>
  <c r="M61" i="5"/>
  <c r="N40" i="5"/>
  <c r="M40" i="5"/>
  <c r="J40" i="5"/>
  <c r="I40" i="5"/>
  <c r="L60" i="5"/>
  <c r="H60" i="5"/>
  <c r="J61" i="5"/>
  <c r="I61" i="5"/>
  <c r="H130" i="5"/>
  <c r="L39" i="5"/>
  <c r="H39" i="5"/>
  <c r="J152" i="5"/>
  <c r="I152" i="5"/>
  <c r="H151" i="5"/>
  <c r="H75" i="5"/>
  <c r="L75" i="5"/>
  <c r="O76" i="5"/>
  <c r="J76" i="5"/>
  <c r="I76" i="5"/>
  <c r="H51" i="5"/>
  <c r="J52" i="5"/>
  <c r="I52" i="5"/>
  <c r="Q52" i="5"/>
  <c r="P52" i="5"/>
  <c r="N52" i="5"/>
  <c r="M52" i="5"/>
  <c r="H26" i="5"/>
  <c r="Q27" i="5"/>
  <c r="P27" i="5"/>
  <c r="N27" i="5"/>
  <c r="M27" i="5"/>
  <c r="J27" i="5"/>
  <c r="I27" i="5"/>
  <c r="Q158" i="5"/>
  <c r="Q162" i="5"/>
  <c r="Q157" i="5"/>
  <c r="Q161" i="5"/>
  <c r="P158" i="5"/>
  <c r="P162" i="5"/>
  <c r="P157" i="5"/>
  <c r="O157" i="5"/>
  <c r="K157" i="5"/>
  <c r="K159" i="5"/>
  <c r="Q178" i="5"/>
  <c r="Q180" i="5"/>
  <c r="P178" i="5"/>
  <c r="P180" i="5"/>
  <c r="O180" i="5"/>
  <c r="N180" i="5"/>
  <c r="M180" i="5"/>
  <c r="K180" i="5"/>
  <c r="J180" i="5"/>
  <c r="I180" i="5"/>
  <c r="L179" i="5"/>
  <c r="H179" i="5"/>
  <c r="L178" i="5"/>
  <c r="H178" i="5"/>
  <c r="L177" i="5"/>
  <c r="L180" i="5"/>
  <c r="H177" i="5"/>
  <c r="H180" i="5"/>
  <c r="P252" i="5"/>
  <c r="P253" i="5"/>
  <c r="L252" i="5"/>
  <c r="L251" i="5"/>
  <c r="L253" i="5"/>
  <c r="H251" i="5"/>
  <c r="L249" i="5"/>
  <c r="L248" i="5"/>
  <c r="H249" i="5"/>
  <c r="H248" i="5"/>
  <c r="H250" i="5"/>
  <c r="U253" i="5"/>
  <c r="T253" i="5"/>
  <c r="S253" i="5"/>
  <c r="Q253" i="5"/>
  <c r="O253" i="5"/>
  <c r="N253" i="5"/>
  <c r="M253" i="5"/>
  <c r="J253" i="5"/>
  <c r="I253" i="5"/>
  <c r="P96" i="5"/>
  <c r="P97" i="5"/>
  <c r="L96" i="5"/>
  <c r="P110" i="5"/>
  <c r="L110" i="5"/>
  <c r="L109" i="5"/>
  <c r="L111" i="5"/>
  <c r="H110" i="5"/>
  <c r="H109" i="5"/>
  <c r="Q111" i="5"/>
  <c r="O111" i="5"/>
  <c r="N111" i="5"/>
  <c r="N112" i="5"/>
  <c r="M111" i="5"/>
  <c r="K111" i="5"/>
  <c r="J111" i="5"/>
  <c r="I111" i="5"/>
  <c r="P249" i="5"/>
  <c r="P250" i="5"/>
  <c r="O250" i="5"/>
  <c r="U250" i="5"/>
  <c r="T250" i="5"/>
  <c r="S250" i="5"/>
  <c r="U246" i="5"/>
  <c r="T246" i="5"/>
  <c r="S246" i="5"/>
  <c r="Q250" i="5"/>
  <c r="N250" i="5"/>
  <c r="M250" i="5"/>
  <c r="K250" i="5"/>
  <c r="J250" i="5"/>
  <c r="I250" i="5"/>
  <c r="P244" i="5"/>
  <c r="P246" i="5"/>
  <c r="L244" i="5"/>
  <c r="H244" i="5"/>
  <c r="L243" i="5"/>
  <c r="D46" i="7"/>
  <c r="L246" i="5"/>
  <c r="H243" i="5"/>
  <c r="H246" i="5"/>
  <c r="Q235" i="5"/>
  <c r="P235" i="5"/>
  <c r="O235" i="5"/>
  <c r="N235" i="5"/>
  <c r="M235" i="5"/>
  <c r="J235" i="5"/>
  <c r="I235" i="5"/>
  <c r="K235" i="5"/>
  <c r="H233" i="5"/>
  <c r="H234" i="5"/>
  <c r="Q206" i="5"/>
  <c r="P206" i="5"/>
  <c r="O206" i="5"/>
  <c r="N206" i="5"/>
  <c r="M206" i="5"/>
  <c r="K206" i="5"/>
  <c r="J206" i="5"/>
  <c r="I206" i="5"/>
  <c r="L205" i="5"/>
  <c r="H205" i="5"/>
  <c r="L204" i="5"/>
  <c r="H204" i="5"/>
  <c r="H206" i="5"/>
  <c r="S185" i="5"/>
  <c r="U200" i="5"/>
  <c r="T200" i="5"/>
  <c r="S200" i="5"/>
  <c r="U203" i="5"/>
  <c r="T203" i="5"/>
  <c r="S203" i="5"/>
  <c r="S206" i="5"/>
  <c r="G15" i="3"/>
  <c r="U206" i="5"/>
  <c r="T206" i="5"/>
  <c r="L202" i="5"/>
  <c r="L201" i="5"/>
  <c r="D39" i="7"/>
  <c r="L199" i="5"/>
  <c r="L198" i="5"/>
  <c r="D38" i="7"/>
  <c r="H202" i="5"/>
  <c r="H201" i="5"/>
  <c r="H203" i="5"/>
  <c r="H199" i="5"/>
  <c r="H200" i="5"/>
  <c r="H198" i="5"/>
  <c r="L183" i="5"/>
  <c r="L185" i="5"/>
  <c r="D37" i="7"/>
  <c r="F37" i="7"/>
  <c r="Q200" i="5"/>
  <c r="P200" i="5"/>
  <c r="O200" i="5"/>
  <c r="N200" i="5"/>
  <c r="M200" i="5"/>
  <c r="K200" i="5"/>
  <c r="J200" i="5"/>
  <c r="I200" i="5"/>
  <c r="Q203" i="5"/>
  <c r="P203" i="5"/>
  <c r="O203" i="5"/>
  <c r="N203" i="5"/>
  <c r="M203" i="5"/>
  <c r="K203" i="5"/>
  <c r="J203" i="5"/>
  <c r="I203" i="5"/>
  <c r="L77" i="5"/>
  <c r="K116" i="5"/>
  <c r="H116" i="5"/>
  <c r="Q121" i="5"/>
  <c r="P121" i="5"/>
  <c r="O121" i="5"/>
  <c r="N121" i="5"/>
  <c r="M121" i="5"/>
  <c r="K121" i="5"/>
  <c r="J121" i="5"/>
  <c r="I121" i="5"/>
  <c r="L46" i="5"/>
  <c r="K46" i="5"/>
  <c r="P41" i="5"/>
  <c r="K50" i="5"/>
  <c r="H50" i="5"/>
  <c r="K49" i="5"/>
  <c r="O226" i="5"/>
  <c r="L226" i="5"/>
  <c r="O225" i="5"/>
  <c r="O227" i="5"/>
  <c r="O260" i="5"/>
  <c r="O261" i="5"/>
  <c r="K226" i="5"/>
  <c r="H226" i="5"/>
  <c r="K225" i="5"/>
  <c r="K71" i="5"/>
  <c r="H71" i="5"/>
  <c r="H284" i="5"/>
  <c r="K72" i="5"/>
  <c r="O148" i="5"/>
  <c r="K150" i="5"/>
  <c r="H150" i="5"/>
  <c r="K149" i="5"/>
  <c r="H149" i="5"/>
  <c r="K148" i="5"/>
  <c r="H148" i="5"/>
  <c r="O129" i="5"/>
  <c r="L129" i="5"/>
  <c r="O128" i="5"/>
  <c r="O127" i="5"/>
  <c r="L127" i="5"/>
  <c r="K129" i="5"/>
  <c r="H129" i="5"/>
  <c r="H132" i="5"/>
  <c r="K128" i="5"/>
  <c r="K127" i="5"/>
  <c r="O105" i="5"/>
  <c r="L105" i="5"/>
  <c r="O104" i="5"/>
  <c r="L104" i="5"/>
  <c r="K104" i="5"/>
  <c r="K105" i="5"/>
  <c r="H105" i="5"/>
  <c r="Q65" i="5"/>
  <c r="Q64" i="5"/>
  <c r="Q68" i="5"/>
  <c r="P64" i="5"/>
  <c r="P68" i="5"/>
  <c r="P65" i="5"/>
  <c r="O65" i="5"/>
  <c r="O69" i="5"/>
  <c r="L65" i="5"/>
  <c r="L69" i="5"/>
  <c r="O64" i="5"/>
  <c r="K65" i="5"/>
  <c r="K69" i="5"/>
  <c r="K64" i="5"/>
  <c r="K68" i="5"/>
  <c r="H68" i="5"/>
  <c r="Q37" i="5"/>
  <c r="Q38" i="5"/>
  <c r="P38" i="5"/>
  <c r="P37" i="5"/>
  <c r="O38" i="5"/>
  <c r="L38" i="5"/>
  <c r="O37" i="5"/>
  <c r="L37" i="5"/>
  <c r="D13" i="7"/>
  <c r="K38" i="5"/>
  <c r="K40" i="5"/>
  <c r="H38" i="5"/>
  <c r="H37" i="5"/>
  <c r="K237" i="5"/>
  <c r="K236" i="5"/>
  <c r="H236" i="5"/>
  <c r="H238" i="5"/>
  <c r="K74" i="5"/>
  <c r="K73" i="5"/>
  <c r="H73" i="5"/>
  <c r="K25" i="5"/>
  <c r="K24" i="5"/>
  <c r="H24" i="5"/>
  <c r="L168" i="5"/>
  <c r="H168" i="5"/>
  <c r="O59" i="5"/>
  <c r="L59" i="5"/>
  <c r="O58" i="5"/>
  <c r="O57" i="5"/>
  <c r="K59" i="5"/>
  <c r="H59" i="5"/>
  <c r="K58" i="5"/>
  <c r="K57" i="5"/>
  <c r="K61" i="5"/>
  <c r="O240" i="5"/>
  <c r="L240" i="5"/>
  <c r="K240" i="5"/>
  <c r="O239" i="5"/>
  <c r="L239" i="5"/>
  <c r="H154" i="5"/>
  <c r="H155" i="5"/>
  <c r="P155" i="5"/>
  <c r="P153" i="5"/>
  <c r="P156" i="5"/>
  <c r="P154" i="5"/>
  <c r="U156" i="5"/>
  <c r="T156" i="5"/>
  <c r="S156" i="5"/>
  <c r="N156" i="5"/>
  <c r="M156" i="5"/>
  <c r="J156" i="5"/>
  <c r="I156" i="5"/>
  <c r="M176" i="5"/>
  <c r="N176" i="5"/>
  <c r="O176" i="5"/>
  <c r="Q176" i="5"/>
  <c r="I176" i="5"/>
  <c r="J176" i="5"/>
  <c r="K176" i="5"/>
  <c r="L175" i="5"/>
  <c r="L174" i="5"/>
  <c r="L173" i="5"/>
  <c r="H175" i="5"/>
  <c r="H174" i="5"/>
  <c r="H173" i="5"/>
  <c r="P173" i="5"/>
  <c r="P175" i="5"/>
  <c r="P174" i="5"/>
  <c r="L41" i="5"/>
  <c r="L42" i="5"/>
  <c r="H41" i="5"/>
  <c r="H42" i="5"/>
  <c r="Q42" i="5"/>
  <c r="Q209" i="5"/>
  <c r="Q273" i="5"/>
  <c r="P209" i="5"/>
  <c r="Q208" i="5"/>
  <c r="P208" i="5"/>
  <c r="P210" i="5"/>
  <c r="Q207" i="5"/>
  <c r="Q282" i="5"/>
  <c r="H25" i="2"/>
  <c r="P207" i="5"/>
  <c r="O164" i="5"/>
  <c r="L164" i="5"/>
  <c r="O163" i="5"/>
  <c r="L163" i="5"/>
  <c r="D32" i="7"/>
  <c r="C32" i="7"/>
  <c r="P165" i="5"/>
  <c r="P164" i="5"/>
  <c r="P163" i="5"/>
  <c r="P166" i="5"/>
  <c r="K164" i="5"/>
  <c r="K163" i="5"/>
  <c r="H163" i="5"/>
  <c r="P146" i="5"/>
  <c r="P145" i="5"/>
  <c r="P147" i="5"/>
  <c r="O146" i="5"/>
  <c r="L146" i="5"/>
  <c r="K146" i="5"/>
  <c r="H146" i="5"/>
  <c r="O145" i="5"/>
  <c r="L145" i="5"/>
  <c r="K145" i="5"/>
  <c r="K147" i="5"/>
  <c r="O153" i="5"/>
  <c r="L153" i="5"/>
  <c r="K153" i="5"/>
  <c r="O124" i="5"/>
  <c r="L124" i="5"/>
  <c r="O123" i="5"/>
  <c r="L123" i="5"/>
  <c r="K122" i="5"/>
  <c r="H122" i="5"/>
  <c r="H126" i="5"/>
  <c r="K124" i="5"/>
  <c r="K126" i="5"/>
  <c r="K123" i="5"/>
  <c r="H123" i="5"/>
  <c r="P116" i="5"/>
  <c r="O116" i="5"/>
  <c r="P115" i="5"/>
  <c r="P117" i="5"/>
  <c r="L115" i="5"/>
  <c r="H115" i="5"/>
  <c r="L114" i="5"/>
  <c r="H114" i="5"/>
  <c r="L62" i="5"/>
  <c r="L63" i="5"/>
  <c r="H62" i="5"/>
  <c r="H63" i="5"/>
  <c r="L55" i="5"/>
  <c r="L54" i="5"/>
  <c r="L53" i="5"/>
  <c r="H54" i="5"/>
  <c r="H55" i="5"/>
  <c r="Q56" i="5"/>
  <c r="P56" i="5"/>
  <c r="O56" i="5"/>
  <c r="N56" i="5"/>
  <c r="M56" i="5"/>
  <c r="K56" i="5"/>
  <c r="J56" i="5"/>
  <c r="I56" i="5"/>
  <c r="L28" i="5"/>
  <c r="L17" i="5"/>
  <c r="L19" i="5"/>
  <c r="H17" i="5"/>
  <c r="H19" i="5"/>
  <c r="K15" i="5"/>
  <c r="L15" i="5"/>
  <c r="L16" i="5"/>
  <c r="M76" i="5"/>
  <c r="N76" i="5"/>
  <c r="I72" i="5"/>
  <c r="J72" i="5"/>
  <c r="M72" i="5"/>
  <c r="N72" i="5"/>
  <c r="P72" i="5"/>
  <c r="Q72" i="5"/>
  <c r="I66" i="5"/>
  <c r="J66" i="5"/>
  <c r="M66" i="5"/>
  <c r="N66" i="5"/>
  <c r="I63" i="5"/>
  <c r="J63" i="5"/>
  <c r="K63" i="5"/>
  <c r="M63" i="5"/>
  <c r="N63" i="5"/>
  <c r="O63" i="5"/>
  <c r="P63" i="5"/>
  <c r="Q63" i="5"/>
  <c r="I47" i="5"/>
  <c r="J47" i="5"/>
  <c r="M47" i="5"/>
  <c r="N47" i="5"/>
  <c r="P47" i="5"/>
  <c r="Q47" i="5"/>
  <c r="I44" i="5"/>
  <c r="J44" i="5"/>
  <c r="K44" i="5"/>
  <c r="M44" i="5"/>
  <c r="N44" i="5"/>
  <c r="Q44" i="5"/>
  <c r="I36" i="5"/>
  <c r="J36" i="5"/>
  <c r="K36" i="5"/>
  <c r="M36" i="5"/>
  <c r="N36" i="5"/>
  <c r="O36" i="5"/>
  <c r="P36" i="5"/>
  <c r="Q36" i="5"/>
  <c r="I30" i="5"/>
  <c r="J30" i="5"/>
  <c r="K30" i="5"/>
  <c r="M30" i="5"/>
  <c r="N30" i="5"/>
  <c r="O30" i="5"/>
  <c r="P30" i="5"/>
  <c r="Q30" i="5"/>
  <c r="I19" i="5"/>
  <c r="J19" i="5"/>
  <c r="K19" i="5"/>
  <c r="M19" i="5"/>
  <c r="N19" i="5"/>
  <c r="O19" i="5"/>
  <c r="P19" i="5"/>
  <c r="Q19" i="5"/>
  <c r="I16" i="5"/>
  <c r="J16" i="5"/>
  <c r="M16" i="5"/>
  <c r="N16" i="5"/>
  <c r="O16" i="5"/>
  <c r="P16" i="5"/>
  <c r="Q16" i="5"/>
  <c r="Q98" i="5"/>
  <c r="I97" i="5"/>
  <c r="K97" i="5"/>
  <c r="M97" i="5"/>
  <c r="N97" i="5"/>
  <c r="O97" i="5"/>
  <c r="Q97" i="5"/>
  <c r="I117" i="5"/>
  <c r="J117" i="5"/>
  <c r="J181" i="5"/>
  <c r="M117" i="5"/>
  <c r="N117" i="5"/>
  <c r="Q117" i="5"/>
  <c r="I126" i="5"/>
  <c r="J126" i="5"/>
  <c r="M126" i="5"/>
  <c r="N126" i="5"/>
  <c r="P126" i="5"/>
  <c r="Q126" i="5"/>
  <c r="Q181" i="5"/>
  <c r="I141" i="5"/>
  <c r="J141" i="5"/>
  <c r="K141" i="5"/>
  <c r="M141" i="5"/>
  <c r="N141" i="5"/>
  <c r="O141" i="5"/>
  <c r="P141" i="5"/>
  <c r="Q141" i="5"/>
  <c r="I147" i="5"/>
  <c r="J147" i="5"/>
  <c r="M147" i="5"/>
  <c r="M181" i="5"/>
  <c r="N147" i="5"/>
  <c r="Q147" i="5"/>
  <c r="M152" i="5"/>
  <c r="N152" i="5"/>
  <c r="I159" i="5"/>
  <c r="J159" i="5"/>
  <c r="M159" i="5"/>
  <c r="N159" i="5"/>
  <c r="I166" i="5"/>
  <c r="J166" i="5"/>
  <c r="M166" i="5"/>
  <c r="N166" i="5"/>
  <c r="I170" i="5"/>
  <c r="J170" i="5"/>
  <c r="M170" i="5"/>
  <c r="N170" i="5"/>
  <c r="Q170" i="5"/>
  <c r="I172" i="5"/>
  <c r="J172" i="5"/>
  <c r="K172" i="5"/>
  <c r="M172" i="5"/>
  <c r="N172" i="5"/>
  <c r="O172" i="5"/>
  <c r="Q172" i="5"/>
  <c r="I210" i="5"/>
  <c r="J210" i="5"/>
  <c r="K210" i="5"/>
  <c r="M210" i="5"/>
  <c r="N210" i="5"/>
  <c r="O210" i="5"/>
  <c r="I227" i="5"/>
  <c r="J227" i="5"/>
  <c r="J260" i="5"/>
  <c r="J261" i="5"/>
  <c r="M227" i="5"/>
  <c r="N227" i="5"/>
  <c r="P227" i="5"/>
  <c r="P260" i="5"/>
  <c r="P261" i="5"/>
  <c r="Q227" i="5"/>
  <c r="I238" i="5"/>
  <c r="J238" i="5"/>
  <c r="M238" i="5"/>
  <c r="N238" i="5"/>
  <c r="O238" i="5"/>
  <c r="P238" i="5"/>
  <c r="Q238" i="5"/>
  <c r="P259" i="5"/>
  <c r="Q259" i="5"/>
  <c r="H218" i="5"/>
  <c r="T80" i="5"/>
  <c r="S80" i="5"/>
  <c r="U97" i="5"/>
  <c r="T97" i="5"/>
  <c r="S97" i="5"/>
  <c r="L95" i="5"/>
  <c r="L97" i="5"/>
  <c r="H96" i="5"/>
  <c r="H53" i="5"/>
  <c r="L237" i="5"/>
  <c r="L236" i="5"/>
  <c r="D44" i="7"/>
  <c r="F44" i="7"/>
  <c r="L232" i="5"/>
  <c r="L217" i="5"/>
  <c r="L209" i="5"/>
  <c r="L210" i="5"/>
  <c r="L208" i="5"/>
  <c r="L207" i="5"/>
  <c r="L171" i="5"/>
  <c r="L172" i="5"/>
  <c r="L169" i="5"/>
  <c r="H169" i="5"/>
  <c r="L165" i="5"/>
  <c r="L158" i="5"/>
  <c r="H158" i="5"/>
  <c r="L140" i="5"/>
  <c r="L139" i="5"/>
  <c r="D27" i="7"/>
  <c r="F27" i="7"/>
  <c r="H140" i="5"/>
  <c r="H144" i="5"/>
  <c r="L101" i="5"/>
  <c r="L70" i="5"/>
  <c r="L50" i="5"/>
  <c r="L49" i="5"/>
  <c r="L48" i="5"/>
  <c r="L35" i="5"/>
  <c r="L34" i="5"/>
  <c r="L36" i="5"/>
  <c r="H35" i="5"/>
  <c r="H34" i="5"/>
  <c r="H36" i="5"/>
  <c r="H29" i="5"/>
  <c r="H28" i="5"/>
  <c r="H30" i="5"/>
  <c r="A1" i="2"/>
  <c r="U259" i="5"/>
  <c r="I22" i="3"/>
  <c r="T259" i="5"/>
  <c r="H22" i="3"/>
  <c r="S259" i="5"/>
  <c r="G22" i="3"/>
  <c r="U242" i="5"/>
  <c r="I20" i="3"/>
  <c r="T242" i="5"/>
  <c r="H20" i="3"/>
  <c r="S242" i="5"/>
  <c r="G20" i="3"/>
  <c r="U238" i="5"/>
  <c r="I21" i="3"/>
  <c r="T238" i="5"/>
  <c r="H21" i="3"/>
  <c r="S238" i="5"/>
  <c r="G21" i="3"/>
  <c r="U235" i="5"/>
  <c r="I19" i="3"/>
  <c r="T235" i="5"/>
  <c r="H19" i="3"/>
  <c r="S235" i="5"/>
  <c r="G19" i="3"/>
  <c r="H232" i="5"/>
  <c r="H235" i="5"/>
  <c r="U227" i="5"/>
  <c r="T227" i="5"/>
  <c r="S227" i="5"/>
  <c r="U220" i="5"/>
  <c r="T220" i="5"/>
  <c r="S220" i="5"/>
  <c r="U216" i="5"/>
  <c r="T216" i="5"/>
  <c r="S216" i="5"/>
  <c r="U210" i="5"/>
  <c r="T210" i="5"/>
  <c r="S210" i="5"/>
  <c r="H209" i="5"/>
  <c r="H208" i="5"/>
  <c r="H207" i="5"/>
  <c r="U185" i="5"/>
  <c r="I15" i="3"/>
  <c r="T185" i="5"/>
  <c r="H183" i="5"/>
  <c r="U180" i="5"/>
  <c r="T180" i="5"/>
  <c r="S180" i="5"/>
  <c r="U172" i="5"/>
  <c r="T172" i="5"/>
  <c r="S172" i="5"/>
  <c r="H171" i="5"/>
  <c r="H172" i="5"/>
  <c r="U170" i="5"/>
  <c r="T170" i="5"/>
  <c r="S170" i="5"/>
  <c r="U166" i="5"/>
  <c r="T166" i="5"/>
  <c r="S166" i="5"/>
  <c r="H165" i="5"/>
  <c r="U159" i="5"/>
  <c r="T159" i="5"/>
  <c r="S159" i="5"/>
  <c r="U152" i="5"/>
  <c r="T152" i="5"/>
  <c r="S152" i="5"/>
  <c r="U147" i="5"/>
  <c r="T147" i="5"/>
  <c r="S147" i="5"/>
  <c r="U141" i="5"/>
  <c r="T141" i="5"/>
  <c r="S141" i="5"/>
  <c r="H139" i="5"/>
  <c r="H141" i="5"/>
  <c r="U132" i="5"/>
  <c r="T132" i="5"/>
  <c r="S132" i="5"/>
  <c r="U126" i="5"/>
  <c r="T126" i="5"/>
  <c r="H14" i="3"/>
  <c r="S126" i="5"/>
  <c r="U117" i="5"/>
  <c r="T117" i="5"/>
  <c r="S117" i="5"/>
  <c r="U107" i="5"/>
  <c r="I13" i="3"/>
  <c r="T107" i="5"/>
  <c r="H13" i="3"/>
  <c r="S107" i="5"/>
  <c r="G13" i="3"/>
  <c r="H101" i="5"/>
  <c r="U76" i="5"/>
  <c r="I11" i="3"/>
  <c r="T76" i="5"/>
  <c r="H11" i="3"/>
  <c r="S76" i="5"/>
  <c r="G11" i="3"/>
  <c r="U72" i="5"/>
  <c r="T72" i="5"/>
  <c r="S72" i="5"/>
  <c r="H70" i="5"/>
  <c r="H72" i="5"/>
  <c r="U66" i="5"/>
  <c r="T66" i="5"/>
  <c r="S66" i="5"/>
  <c r="U63" i="5"/>
  <c r="T63" i="5"/>
  <c r="S63" i="5"/>
  <c r="U61" i="5"/>
  <c r="T61" i="5"/>
  <c r="S61" i="5"/>
  <c r="U56" i="5"/>
  <c r="T56" i="5"/>
  <c r="S56" i="5"/>
  <c r="U52" i="5"/>
  <c r="T52" i="5"/>
  <c r="S52" i="5"/>
  <c r="U47" i="5"/>
  <c r="T47" i="5"/>
  <c r="S47" i="5"/>
  <c r="U44" i="5"/>
  <c r="T44" i="5"/>
  <c r="S44" i="5"/>
  <c r="H43" i="5"/>
  <c r="H44" i="5"/>
  <c r="U40" i="5"/>
  <c r="T40" i="5"/>
  <c r="S40" i="5"/>
  <c r="U36" i="5"/>
  <c r="T36" i="5"/>
  <c r="S36" i="5"/>
  <c r="U30" i="5"/>
  <c r="T30" i="5"/>
  <c r="S30" i="5"/>
  <c r="U27" i="5"/>
  <c r="T27" i="5"/>
  <c r="S27" i="5"/>
  <c r="G10" i="3"/>
  <c r="U19" i="5"/>
  <c r="T19" i="5"/>
  <c r="S19" i="5"/>
  <c r="U16" i="5"/>
  <c r="T16" i="5"/>
  <c r="S16" i="5"/>
  <c r="G9" i="3"/>
  <c r="L24" i="5"/>
  <c r="L25" i="5"/>
  <c r="L23" i="5"/>
  <c r="D11" i="7"/>
  <c r="L74" i="5"/>
  <c r="L76" i="5"/>
  <c r="L73" i="5"/>
  <c r="D19" i="7"/>
  <c r="C19" i="7"/>
  <c r="H217" i="5"/>
  <c r="H220" i="5"/>
  <c r="L43" i="5"/>
  <c r="L44" i="5"/>
  <c r="O44" i="5"/>
  <c r="L100" i="5"/>
  <c r="P44" i="5"/>
  <c r="H23" i="5"/>
  <c r="K231" i="5"/>
  <c r="O231" i="5"/>
  <c r="H77" i="5"/>
  <c r="O72" i="5"/>
  <c r="L71" i="5"/>
  <c r="O47" i="5"/>
  <c r="L45" i="5"/>
  <c r="O242" i="5"/>
  <c r="H252" i="5"/>
  <c r="H253" i="5"/>
  <c r="O156" i="5"/>
  <c r="H157" i="5"/>
  <c r="M259" i="5"/>
  <c r="H167" i="5"/>
  <c r="H170" i="5"/>
  <c r="O166" i="5"/>
  <c r="J97" i="5"/>
  <c r="H95" i="5"/>
  <c r="H97" i="5"/>
  <c r="H237" i="5"/>
  <c r="K238" i="5"/>
  <c r="K107" i="5"/>
  <c r="H104" i="5"/>
  <c r="H107" i="5"/>
  <c r="H64" i="5"/>
  <c r="K66" i="5"/>
  <c r="H230" i="5"/>
  <c r="H231" i="5"/>
  <c r="M231" i="5"/>
  <c r="L230" i="5"/>
  <c r="L231" i="5"/>
  <c r="L58" i="5"/>
  <c r="P284" i="5"/>
  <c r="G20" i="2"/>
  <c r="G15" i="2"/>
  <c r="P42" i="5"/>
  <c r="L157" i="5"/>
  <c r="L159" i="5"/>
  <c r="K275" i="5"/>
  <c r="H239" i="5"/>
  <c r="H242" i="5"/>
  <c r="Q159" i="5"/>
  <c r="O107" i="5"/>
  <c r="O112" i="5"/>
  <c r="P161" i="5"/>
  <c r="P159" i="5"/>
  <c r="K185" i="5"/>
  <c r="K221" i="5"/>
  <c r="H184" i="5"/>
  <c r="C35" i="2"/>
  <c r="H65" i="5"/>
  <c r="H69" i="5"/>
  <c r="D36" i="2"/>
  <c r="D38" i="2"/>
  <c r="H78" i="5"/>
  <c r="H80" i="5"/>
  <c r="K80" i="5"/>
  <c r="K156" i="5"/>
  <c r="H153" i="5"/>
  <c r="H156" i="5"/>
  <c r="O152" i="5"/>
  <c r="L148" i="5"/>
  <c r="L152" i="5"/>
  <c r="H196" i="5"/>
  <c r="H197" i="5"/>
  <c r="K276" i="5"/>
  <c r="K197" i="5"/>
  <c r="P69" i="5"/>
  <c r="P66" i="5"/>
  <c r="H49" i="5"/>
  <c r="H52" i="5"/>
  <c r="K52" i="5"/>
  <c r="H240" i="5"/>
  <c r="K242" i="5"/>
  <c r="L64" i="5"/>
  <c r="O68" i="5"/>
  <c r="L68" i="5"/>
  <c r="O66" i="5"/>
  <c r="D40" i="7"/>
  <c r="C40" i="7"/>
  <c r="F40" i="7"/>
  <c r="H79" i="5"/>
  <c r="H58" i="5"/>
  <c r="H127" i="5"/>
  <c r="I231" i="5"/>
  <c r="I260" i="5"/>
  <c r="I261" i="5"/>
  <c r="I276" i="5"/>
  <c r="O147" i="5"/>
  <c r="Q210" i="5"/>
  <c r="P176" i="5"/>
  <c r="Q40" i="5"/>
  <c r="L196" i="5"/>
  <c r="L197" i="5"/>
  <c r="P40" i="5"/>
  <c r="H164" i="5"/>
  <c r="H166" i="5"/>
  <c r="K166" i="5"/>
  <c r="H74" i="5"/>
  <c r="K76" i="5"/>
  <c r="O40" i="5"/>
  <c r="F17" i="2"/>
  <c r="E17" i="2"/>
  <c r="Q69" i="5"/>
  <c r="K152" i="5"/>
  <c r="O170" i="5"/>
  <c r="L144" i="5"/>
  <c r="L162" i="5"/>
  <c r="D15" i="7"/>
  <c r="I265" i="5"/>
  <c r="O265" i="5"/>
  <c r="L258" i="5"/>
  <c r="L259" i="5"/>
  <c r="I259" i="5"/>
  <c r="J265" i="5"/>
  <c r="J286" i="5"/>
  <c r="N265" i="5"/>
  <c r="N286" i="5"/>
  <c r="F11" i="2"/>
  <c r="E11" i="2"/>
  <c r="H46" i="5"/>
  <c r="H124" i="5"/>
  <c r="G14" i="3"/>
  <c r="H111" i="5"/>
  <c r="L141" i="5"/>
  <c r="D29" i="7"/>
  <c r="C29" i="7"/>
  <c r="L200" i="5"/>
  <c r="L250" i="5"/>
  <c r="K117" i="5"/>
  <c r="K47" i="5"/>
  <c r="L206" i="5"/>
  <c r="K16" i="5"/>
  <c r="C44" i="7"/>
  <c r="H66" i="5"/>
  <c r="L216" i="5"/>
  <c r="L225" i="5"/>
  <c r="J112" i="5"/>
  <c r="O280" i="5"/>
  <c r="O143" i="5"/>
  <c r="L143" i="5"/>
  <c r="F19" i="7"/>
  <c r="P273" i="5"/>
  <c r="G36" i="2"/>
  <c r="K273" i="5"/>
  <c r="K27" i="5"/>
  <c r="H25" i="5"/>
  <c r="Q280" i="5"/>
  <c r="H37" i="2"/>
  <c r="Q66" i="5"/>
  <c r="D36" i="7"/>
  <c r="K257" i="5"/>
  <c r="H254" i="5"/>
  <c r="H257" i="5"/>
  <c r="P282" i="5"/>
  <c r="G25" i="2"/>
  <c r="K132" i="5"/>
  <c r="H128" i="5"/>
  <c r="P280" i="5"/>
  <c r="G37" i="2"/>
  <c r="P111" i="5"/>
  <c r="O159" i="5"/>
  <c r="O160" i="5"/>
  <c r="L160" i="5"/>
  <c r="H100" i="5"/>
  <c r="H103" i="5"/>
  <c r="H112" i="5"/>
  <c r="K103" i="5"/>
  <c r="N221" i="5"/>
  <c r="H131" i="5"/>
  <c r="H265" i="5"/>
  <c r="K265" i="5"/>
  <c r="L103" i="5"/>
  <c r="D21" i="7"/>
  <c r="H145" i="5"/>
  <c r="H147" i="5"/>
  <c r="L33" i="5"/>
  <c r="L57" i="5"/>
  <c r="D17" i="7"/>
  <c r="O61" i="5"/>
  <c r="L128" i="5"/>
  <c r="L254" i="5"/>
  <c r="D47" i="7"/>
  <c r="F29" i="7"/>
  <c r="F32" i="7"/>
  <c r="F21" i="7"/>
  <c r="C21" i="7"/>
  <c r="O52" i="5"/>
  <c r="O27" i="5"/>
  <c r="O276" i="5"/>
  <c r="L130" i="5"/>
  <c r="O132" i="5"/>
  <c r="F34" i="7"/>
  <c r="L116" i="5"/>
  <c r="O117" i="5"/>
  <c r="O181" i="5"/>
  <c r="H40" i="5"/>
  <c r="I9" i="3"/>
  <c r="H15" i="5"/>
  <c r="H16" i="5"/>
  <c r="K284" i="5"/>
  <c r="O161" i="5"/>
  <c r="L161" i="5"/>
  <c r="H76" i="5"/>
  <c r="C27" i="7"/>
  <c r="L284" i="5"/>
  <c r="F20" i="2"/>
  <c r="E20" i="2"/>
  <c r="E15" i="2"/>
  <c r="K181" i="5"/>
  <c r="K143" i="5"/>
  <c r="H143" i="5"/>
  <c r="H142" i="5"/>
  <c r="K282" i="5"/>
  <c r="L238" i="5"/>
  <c r="O126" i="5"/>
  <c r="H33" i="5"/>
  <c r="L52" i="5"/>
  <c r="D23" i="7"/>
  <c r="F23" i="7"/>
  <c r="H176" i="5"/>
  <c r="H15" i="3"/>
  <c r="N260" i="5"/>
  <c r="N261" i="5"/>
  <c r="L275" i="5"/>
  <c r="F28" i="2"/>
  <c r="E28" i="2"/>
  <c r="L276" i="5"/>
  <c r="C23" i="7"/>
  <c r="L72" i="5"/>
  <c r="O98" i="5"/>
  <c r="D30" i="7"/>
  <c r="L156" i="5"/>
  <c r="P221" i="5"/>
  <c r="I286" i="5"/>
  <c r="L265" i="5"/>
  <c r="L235" i="5"/>
  <c r="M260" i="5"/>
  <c r="M261" i="5"/>
  <c r="N181" i="5"/>
  <c r="I181" i="5"/>
  <c r="P98" i="5"/>
  <c r="L30" i="5"/>
  <c r="D12" i="7"/>
  <c r="D16" i="7"/>
  <c r="F16" i="7"/>
  <c r="L56" i="5"/>
  <c r="L117" i="5"/>
  <c r="K227" i="5"/>
  <c r="K260" i="5"/>
  <c r="K261" i="5"/>
  <c r="H225" i="5"/>
  <c r="H227" i="5"/>
  <c r="H260" i="5"/>
  <c r="H261" i="5"/>
  <c r="K280" i="5"/>
  <c r="L80" i="5"/>
  <c r="D20" i="7"/>
  <c r="I98" i="5"/>
  <c r="P112" i="5"/>
  <c r="L220" i="5"/>
  <c r="D42" i="7"/>
  <c r="F42" i="7"/>
  <c r="Q112" i="5"/>
  <c r="Q222" i="5"/>
  <c r="F36" i="7"/>
  <c r="C36" i="7"/>
  <c r="F15" i="2"/>
  <c r="K112" i="5"/>
  <c r="L27" i="5"/>
  <c r="M98" i="5"/>
  <c r="M222" i="5"/>
  <c r="M262" i="5"/>
  <c r="F39" i="7"/>
  <c r="C39" i="7"/>
  <c r="L203" i="5"/>
  <c r="L221" i="5"/>
  <c r="H9" i="3"/>
  <c r="H162" i="5"/>
  <c r="H159" i="5"/>
  <c r="H56" i="5"/>
  <c r="Q260" i="5"/>
  <c r="Q261" i="5"/>
  <c r="H273" i="5"/>
  <c r="C38" i="7"/>
  <c r="F38" i="7"/>
  <c r="H276" i="5"/>
  <c r="H27" i="5"/>
  <c r="J98" i="5"/>
  <c r="C24" i="7"/>
  <c r="F24" i="7"/>
  <c r="O221" i="5"/>
  <c r="F47" i="7"/>
  <c r="C47" i="7"/>
  <c r="K98" i="5"/>
  <c r="K222" i="5"/>
  <c r="K262" i="5"/>
  <c r="H185" i="5"/>
  <c r="H221" i="5"/>
  <c r="H275" i="5"/>
  <c r="H210" i="5"/>
  <c r="H280" i="5"/>
  <c r="J221" i="5"/>
  <c r="L280" i="5"/>
  <c r="F37" i="2"/>
  <c r="E37" i="2"/>
  <c r="N98" i="5"/>
  <c r="N222" i="5"/>
  <c r="N262" i="5"/>
  <c r="N288" i="5"/>
  <c r="M286" i="5"/>
  <c r="F10" i="2"/>
  <c r="E10" i="2"/>
  <c r="P286" i="5"/>
  <c r="G24" i="2"/>
  <c r="G14" i="2"/>
  <c r="L257" i="5"/>
  <c r="F15" i="7"/>
  <c r="C15" i="7"/>
  <c r="D18" i="7"/>
  <c r="C18" i="7"/>
  <c r="L66" i="5"/>
  <c r="L47" i="5"/>
  <c r="D14" i="7"/>
  <c r="I10" i="3"/>
  <c r="H10" i="3"/>
  <c r="I14" i="3"/>
  <c r="O273" i="5"/>
  <c r="L176" i="5"/>
  <c r="D35" i="7"/>
  <c r="L40" i="5"/>
  <c r="L122" i="5"/>
  <c r="O282" i="5"/>
  <c r="O286" i="5"/>
  <c r="F12" i="2"/>
  <c r="E12" i="2"/>
  <c r="M288" i="5"/>
  <c r="C14" i="7"/>
  <c r="F14" i="7"/>
  <c r="F18" i="7"/>
  <c r="C42" i="7"/>
  <c r="C20" i="7"/>
  <c r="F20" i="7"/>
  <c r="C35" i="7"/>
  <c r="F35" i="7"/>
  <c r="C16" i="7"/>
  <c r="F24" i="2"/>
  <c r="E24" i="2"/>
  <c r="C30" i="7"/>
  <c r="F30" i="7"/>
  <c r="D25" i="7"/>
  <c r="L282" i="5"/>
  <c r="F25" i="2"/>
  <c r="E25" i="2"/>
  <c r="L126" i="5"/>
  <c r="C12" i="7"/>
  <c r="F12" i="7"/>
  <c r="J222" i="5"/>
  <c r="J262" i="5"/>
  <c r="J288" i="5"/>
  <c r="F25" i="7"/>
  <c r="C25" i="7"/>
  <c r="E9" i="2"/>
  <c r="O222" i="5"/>
  <c r="O262" i="5"/>
  <c r="O288" i="5"/>
  <c r="F9" i="2"/>
  <c r="F30" i="2"/>
  <c r="L290" i="5"/>
  <c r="L242" i="5"/>
  <c r="D45" i="7"/>
  <c r="L61" i="5"/>
  <c r="L98" i="5"/>
  <c r="L273" i="5"/>
  <c r="F13" i="7"/>
  <c r="C13" i="7"/>
  <c r="L107" i="5"/>
  <c r="L112" i="5"/>
  <c r="D22" i="7"/>
  <c r="H152" i="5"/>
  <c r="C46" i="7"/>
  <c r="F46" i="7"/>
  <c r="D33" i="7"/>
  <c r="L170" i="5"/>
  <c r="D9" i="2"/>
  <c r="Q262" i="5"/>
  <c r="G35" i="2"/>
  <c r="G13" i="2"/>
  <c r="G9" i="2"/>
  <c r="C11" i="7"/>
  <c r="F11" i="7"/>
  <c r="D26" i="7"/>
  <c r="L132" i="5"/>
  <c r="H14" i="2"/>
  <c r="K286" i="5"/>
  <c r="K288" i="5"/>
  <c r="C17" i="7"/>
  <c r="F17" i="7"/>
  <c r="H117" i="5"/>
  <c r="H181" i="5"/>
  <c r="P181" i="5"/>
  <c r="P222" i="5"/>
  <c r="P262" i="5"/>
  <c r="P288" i="5"/>
  <c r="L227" i="5"/>
  <c r="L260" i="5"/>
  <c r="L261" i="5"/>
  <c r="D43" i="7"/>
  <c r="I222" i="5"/>
  <c r="I262" i="5"/>
  <c r="I288" i="5"/>
  <c r="L147" i="5"/>
  <c r="D28" i="7"/>
  <c r="H36" i="2"/>
  <c r="H35" i="2"/>
  <c r="Q286" i="5"/>
  <c r="F41" i="7"/>
  <c r="C41" i="7"/>
  <c r="D31" i="7"/>
  <c r="D10" i="7"/>
  <c r="H57" i="5"/>
  <c r="H61" i="5"/>
  <c r="H98" i="5"/>
  <c r="H222" i="5"/>
  <c r="H262" i="5"/>
  <c r="C37" i="7"/>
  <c r="K160" i="5"/>
  <c r="E41" i="2"/>
  <c r="L166" i="5"/>
  <c r="C28" i="7"/>
  <c r="F28" i="7"/>
  <c r="C10" i="7"/>
  <c r="F10" i="7"/>
  <c r="D48" i="7"/>
  <c r="H160" i="5"/>
  <c r="K161" i="5"/>
  <c r="H161" i="5"/>
  <c r="F31" i="7"/>
  <c r="C31" i="7"/>
  <c r="F43" i="7"/>
  <c r="C43" i="7"/>
  <c r="H282" i="5"/>
  <c r="H286" i="5"/>
  <c r="H13" i="2"/>
  <c r="H9" i="2"/>
  <c r="L181" i="5"/>
  <c r="F33" i="7"/>
  <c r="C33" i="7"/>
  <c r="F22" i="7"/>
  <c r="C22" i="7"/>
  <c r="F36" i="2"/>
  <c r="L286" i="5"/>
  <c r="H288" i="5"/>
  <c r="C26" i="7"/>
  <c r="F26" i="7"/>
  <c r="Q288" i="5"/>
  <c r="L222" i="5"/>
  <c r="L262" i="5"/>
  <c r="L288" i="5"/>
  <c r="F29" i="2"/>
  <c r="F14" i="2"/>
  <c r="E30" i="2"/>
  <c r="E29" i="2"/>
  <c r="E14" i="2"/>
  <c r="C45" i="7"/>
  <c r="F45" i="7"/>
  <c r="F48" i="7"/>
  <c r="E36" i="2"/>
  <c r="E35" i="2"/>
  <c r="E13" i="2"/>
  <c r="F35" i="2"/>
  <c r="F13" i="2"/>
  <c r="C48" i="7"/>
</calcChain>
</file>

<file path=xl/sharedStrings.xml><?xml version="1.0" encoding="utf-8"?>
<sst xmlns="http://schemas.openxmlformats.org/spreadsheetml/2006/main" count="873" uniqueCount="356">
  <si>
    <t>Programos tikslo kodas</t>
  </si>
  <si>
    <t>Uždavinio kodas</t>
  </si>
  <si>
    <t>Priemonės kodas</t>
  </si>
  <si>
    <t>Priemonės pavadinimas</t>
  </si>
  <si>
    <t>Funkcinės klasifikacijos kodas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</si>
  <si>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</si>
  <si>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</si>
  <si>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</si>
  <si>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</si>
  <si>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</si>
  <si>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planas</t>
  </si>
  <si>
    <t>Iš jų darbo užmokesčiui</t>
  </si>
  <si>
    <t>iš viso:</t>
  </si>
  <si>
    <t>Iš viso uždaviniui:</t>
  </si>
  <si>
    <t>Iš viso tikslui:</t>
  </si>
  <si>
    <t>Iš viso programai:</t>
  </si>
  <si>
    <t>Finansavimo šaltiniai</t>
  </si>
  <si>
    <t>1</t>
  </si>
  <si>
    <t>2</t>
  </si>
  <si>
    <t>3</t>
  </si>
  <si>
    <t>4</t>
  </si>
  <si>
    <t>5</t>
  </si>
  <si>
    <t>6</t>
  </si>
  <si>
    <t>-</t>
  </si>
  <si>
    <t>Pavadinimas</t>
  </si>
  <si>
    <t>(savivaldybės, padalinio, įstaigos pavadinimas)</t>
  </si>
  <si>
    <t>TIKSLŲ, UŽDAVINIŲ, PRIEMONIŲ ASIGNAVIMŲ IR PRODUKTO VERTINIMO KRITERIJŲ SUVESTINĖ</t>
  </si>
  <si>
    <t>Savivaldybės biudžeto lėšos</t>
  </si>
  <si>
    <t>Kelių priežiūros ir plėtros programos lėšos</t>
  </si>
  <si>
    <t>VB</t>
  </si>
  <si>
    <t>Valstybės biudžeto lėšos</t>
  </si>
  <si>
    <t>(programos pavadinimas)</t>
  </si>
  <si>
    <t>Strateginio tikslo kodas</t>
  </si>
  <si>
    <t>Programos kodas</t>
  </si>
  <si>
    <t>Vertinimo kriterijus</t>
  </si>
  <si>
    <t xml:space="preserve">Vertinimo kriterijaus kodas </t>
  </si>
  <si>
    <t xml:space="preserve"> lėšų poreikis (asignavimai) ir numatomi finansavimo šaltiniai</t>
  </si>
  <si>
    <t>Ekonominės klasifikacijos grupės</t>
  </si>
  <si>
    <t xml:space="preserve">1. Iš viso asignavimų </t>
  </si>
  <si>
    <t>1.1. Išlaidoms:</t>
  </si>
  <si>
    <t>1.1.1. iš jų darbo užmokesčiui</t>
  </si>
  <si>
    <t>1.2. Turtui įsigyti ir finansiniams įsipareigojimams vykdyti</t>
  </si>
  <si>
    <t>2.   Finansavimo šaltiniai:</t>
  </si>
  <si>
    <t>2.1. Savivaldybės biudžetas:</t>
  </si>
  <si>
    <t xml:space="preserve">2.1.1. Valstybės biudžeto specialioji tikslinė dotacija </t>
  </si>
  <si>
    <t>iš jos:</t>
  </si>
  <si>
    <r>
      <t>2.2. Kiti šaltiniai:</t>
    </r>
    <r>
      <rPr>
        <sz val="10"/>
        <rFont val="Times New Roman"/>
        <family val="1"/>
        <charset val="186"/>
      </rPr>
      <t xml:space="preserve"> </t>
    </r>
  </si>
  <si>
    <t>3 Strateginis tikslas. Modernizuoti ir plėsti viešąją infrastruktūrą, sudaryti sąlygas verslo ir žemės ūkio plėtrai</t>
  </si>
  <si>
    <t>2015-ųjų m.   planas</t>
  </si>
  <si>
    <t>2016-ųjų m.   planas</t>
  </si>
  <si>
    <t>INVESTICIJŲ PROGRAMOS NR. 3</t>
  </si>
  <si>
    <t>3 Programa. Investicijų programa</t>
  </si>
  <si>
    <t>7</t>
  </si>
  <si>
    <t>8</t>
  </si>
  <si>
    <t>Valstybės investicijų programa</t>
  </si>
  <si>
    <t>ES</t>
  </si>
  <si>
    <t>VIP</t>
  </si>
  <si>
    <t>Stacionarių socialinių paslaugų kokybės gerinimas modernizuojant Akmenės rajono socialinių paslaugų namus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</si>
  <si>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</si>
  <si>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</si>
  <si>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</si>
  <si>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</si>
  <si>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</si>
  <si>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</si>
  <si>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</si>
  <si>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</si>
  <si>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</si>
  <si>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Akmenės rajono savivaldybės administracinio pastato modernizavimas</t>
  </si>
  <si>
    <t>Pastato Naujojoje Akmenėje, V. Kudirkos g. 9, rekonstravimas ir pritaikymas Akmenės rajono  savivaldybės viešosios bibliotekos reikmėms</t>
  </si>
  <si>
    <t>Energijos vartojimo efektyvumo didinimas Akmenės rajono Ventos gimnazijos pastate</t>
  </si>
  <si>
    <t>Akmenės rajono savivaldybės Papilės miestelio kultūros namų pastato renovavimas</t>
  </si>
  <si>
    <t>18</t>
  </si>
  <si>
    <t>19</t>
  </si>
  <si>
    <t>Universalių daugiafunkcinių centrų kūrimas Akmenės rajono kaimo vietovėse</t>
  </si>
  <si>
    <t>Naujosios Akmenės V. Kudirkos mikrorajono daugiabučių namų atnaujinimas</t>
  </si>
  <si>
    <t>Naujosios Akmenės centrinės aikštės su prieigomis kompleksiškas sutvarkymas</t>
  </si>
  <si>
    <t>Bendruomeninės infrastruktūros ir gyvenamosios aplinkos kompleksinė plėtra Akmenės ir Ventos miestuose</t>
  </si>
  <si>
    <t>Pėščiųjų tako iš Kamanų valstybinio gamtinio rezervato į Akmenės gamtos ir kultūros parką įrengimas</t>
  </si>
  <si>
    <t>Akmenės gamtos ir kultūros parko estrados erdvės sutvarkymas</t>
  </si>
  <si>
    <t>Regioninės plėtros gerinimas, tobulinant strateginio planavimo sistemą Akmenės rajono savivaldybėje</t>
  </si>
  <si>
    <t>Akmenės Dabikinės dvaro atkūrimas, pritaikant jį kultūrinio turizmo reikmėms</t>
  </si>
  <si>
    <t>Ventos miesto centrinės dalies kompleksinis sutvarkymas (II etapas)</t>
  </si>
  <si>
    <t>Specialiųjų planų rengimas Akmenės rajono savivaldybėje</t>
  </si>
  <si>
    <t>Informacinių ir komunikacinių technologijų sprendimai savivaldybės komunalinių paslaugų kokybės gerinimui</t>
  </si>
  <si>
    <t>SB (KR)</t>
  </si>
  <si>
    <t>Valstybės deleguotoms funkcijom vykdyti</t>
  </si>
  <si>
    <t>SB (deleg.)</t>
  </si>
  <si>
    <t>Bendrosios dotacijos kompensacija</t>
  </si>
  <si>
    <t>SB (BDK)</t>
  </si>
  <si>
    <t>Nepanaudota bendrosios dotacijos kompensacija</t>
  </si>
  <si>
    <t>SB (NBDK)</t>
  </si>
  <si>
    <t xml:space="preserve">Biudžetinių įstaigų pajamos </t>
  </si>
  <si>
    <t>BIP</t>
  </si>
  <si>
    <t xml:space="preserve">Gyvenamųjų patalpų nuomos pajamos </t>
  </si>
  <si>
    <t>P (GN)</t>
  </si>
  <si>
    <t>Turto realizavimo pajamos</t>
  </si>
  <si>
    <t>P (TR)</t>
  </si>
  <si>
    <t>Mokinio krepšelio lėšos</t>
  </si>
  <si>
    <t>MK</t>
  </si>
  <si>
    <t>Aplinkos apsaugos rėmimo specialioji programa (sveikatos apsaugos priemonės)</t>
  </si>
  <si>
    <t>SB (SAP)</t>
  </si>
  <si>
    <t>Aplinkos apsaugos rėmimo specialioji programa (aplinkos apsaugos priemonės)</t>
  </si>
  <si>
    <t>SB (AA)</t>
  </si>
  <si>
    <t>Privalomojo sveikatos draudimo fondo lėšos</t>
  </si>
  <si>
    <t>PSDF</t>
  </si>
  <si>
    <t>KP</t>
  </si>
  <si>
    <t>Privatizavimo fondo lėšos</t>
  </si>
  <si>
    <t>PF</t>
  </si>
  <si>
    <t>Europos Sąjungos lėšos</t>
  </si>
  <si>
    <t>Savivaldybei grąžintos (kompensuotos) ankstesniais metais panaudotų paskolų lėšos</t>
  </si>
  <si>
    <t>SB (kompens.)</t>
  </si>
  <si>
    <t>Skolintos lėšos</t>
  </si>
  <si>
    <t>SL</t>
  </si>
  <si>
    <t>Verslo skatinimo fondas</t>
  </si>
  <si>
    <t>VF</t>
  </si>
  <si>
    <t>Naujosios Akmenės miesto teritorijos tarp Ramučių ir Respublikos daugiabučių gyvenamųjų namų kvartalų apželdinimas ir sutvarkymas</t>
  </si>
  <si>
    <t>Modernizuoti savivaldybei priklausančius pastatus, gerinant jų būklę ir energetines charakteristikas</t>
  </si>
  <si>
    <t>Akmenės rajono savivaldybės Akmenės krašto muziejaus pastato ir jo aplinkos atnaujinimas</t>
  </si>
  <si>
    <t>Vykdyti rajono viešųjų erdvių, objektų ir bendruomeninės infrastruktūros atnaujinimą ir plėtrą</t>
  </si>
  <si>
    <t>Didinti gyvenamosios aplinkos patrauklumą atnaujinant daugiabučius gyvenamuosius namus ir kitus pastatus</t>
  </si>
  <si>
    <t xml:space="preserve">Atnaujinti ir plėsti inžinerinius statinius </t>
  </si>
  <si>
    <t>2016-ųjų m. asignavimų poreikis</t>
  </si>
  <si>
    <r>
      <t xml:space="preserve">2.1.1.1. valstybės deleguotoms funkcijom vykdyti </t>
    </r>
    <r>
      <rPr>
        <b/>
        <sz val="10"/>
        <color indexed="8"/>
        <rFont val="Times New Roman"/>
        <family val="1"/>
        <charset val="186"/>
      </rPr>
      <t>(SB (deleg))</t>
    </r>
  </si>
  <si>
    <r>
      <t xml:space="preserve">2.1.1.2. mokinio krepšelio lėšos </t>
    </r>
    <r>
      <rPr>
        <b/>
        <sz val="10"/>
        <color indexed="8"/>
        <rFont val="Times New Roman"/>
        <family val="1"/>
        <charset val="186"/>
      </rPr>
      <t>(MK)</t>
    </r>
  </si>
  <si>
    <r>
      <t xml:space="preserve">2.1.1.3. kitos spec. dotacijos- kitoms savivaldybėms  perduotoms  įstaigoms išlaikyti </t>
    </r>
    <r>
      <rPr>
        <b/>
        <sz val="10"/>
        <color indexed="8"/>
        <rFont val="Times New Roman"/>
        <family val="1"/>
        <charset val="186"/>
      </rPr>
      <t>(SB (KSD))</t>
    </r>
  </si>
  <si>
    <r>
      <t xml:space="preserve">2.1.1.4. </t>
    </r>
    <r>
      <rPr>
        <sz val="10"/>
        <rFont val="Times New Roman"/>
        <family val="1"/>
        <charset val="186"/>
      </rPr>
      <t xml:space="preserve">valstybės investicijų programa </t>
    </r>
    <r>
      <rPr>
        <b/>
        <sz val="10"/>
        <rFont val="Times New Roman"/>
        <family val="1"/>
        <charset val="186"/>
      </rPr>
      <t>(VIP)</t>
    </r>
  </si>
  <si>
    <r>
      <t xml:space="preserve">2.1.1.5. lėšos pagal vyriausybės nutarimus </t>
    </r>
    <r>
      <rPr>
        <b/>
        <sz val="10"/>
        <color indexed="8"/>
        <rFont val="Times New Roman"/>
        <family val="1"/>
        <charset val="186"/>
      </rPr>
      <t>(SB  (VN))</t>
    </r>
  </si>
  <si>
    <r>
      <t>2.1.1.6.</t>
    </r>
    <r>
      <rPr>
        <sz val="10"/>
        <rFont val="Times New Roman"/>
        <family val="1"/>
        <charset val="186"/>
      </rPr>
      <t xml:space="preserve"> bendrosios dotacijos kompensacija </t>
    </r>
    <r>
      <rPr>
        <b/>
        <sz val="10"/>
        <rFont val="Times New Roman"/>
        <family val="1"/>
        <charset val="186"/>
      </rPr>
      <t>(BDK)</t>
    </r>
  </si>
  <si>
    <r>
      <t>2.1.1.7.</t>
    </r>
    <r>
      <rPr>
        <sz val="10"/>
        <rFont val="Times New Roman"/>
        <family val="1"/>
        <charset val="186"/>
      </rPr>
      <t xml:space="preserve"> nepanaudota bendrosios dotacijos kompensacija </t>
    </r>
    <r>
      <rPr>
        <b/>
        <sz val="10"/>
        <rFont val="Times New Roman"/>
        <family val="1"/>
        <charset val="186"/>
      </rPr>
      <t>(NBDK)</t>
    </r>
  </si>
  <si>
    <r>
      <t xml:space="preserve">2.1.2. Savivaldybės biudžeto lėšos kitoms reikmėms atlikti </t>
    </r>
    <r>
      <rPr>
        <b/>
        <sz val="10"/>
        <color indexed="8"/>
        <rFont val="Times New Roman"/>
        <family val="1"/>
        <charset val="186"/>
      </rPr>
      <t>(SB (KR))</t>
    </r>
  </si>
  <si>
    <r>
      <t xml:space="preserve">2.1.3. Skolintos lėšos </t>
    </r>
    <r>
      <rPr>
        <b/>
        <sz val="10"/>
        <rFont val="Times New Roman"/>
        <family val="1"/>
        <charset val="186"/>
      </rPr>
      <t>(SL)</t>
    </r>
  </si>
  <si>
    <r>
      <t xml:space="preserve">2.1.4. Biudžetinių įstaigų pajamos </t>
    </r>
    <r>
      <rPr>
        <b/>
        <sz val="10"/>
        <rFont val="Times New Roman"/>
        <family val="1"/>
        <charset val="186"/>
      </rPr>
      <t>(BĮP)</t>
    </r>
  </si>
  <si>
    <r>
      <t xml:space="preserve">2.1.5. Aplinkos apsaugos rėmimo specialioji programa (sveikatos apsaugos priemonės) </t>
    </r>
    <r>
      <rPr>
        <b/>
        <sz val="10"/>
        <rFont val="Times New Roman"/>
        <family val="1"/>
        <charset val="186"/>
      </rPr>
      <t>(SB (SAP))</t>
    </r>
  </si>
  <si>
    <r>
      <t xml:space="preserve">2.1.6. Aplinkos apsaugos rėmimo specialioji programa (aplinkos apsaugos priemonės) </t>
    </r>
    <r>
      <rPr>
        <b/>
        <sz val="10"/>
        <rFont val="Times New Roman"/>
        <family val="1"/>
        <charset val="186"/>
      </rPr>
      <t>(SB (AA))</t>
    </r>
  </si>
  <si>
    <r>
      <t xml:space="preserve">2.1.7. </t>
    </r>
    <r>
      <rPr>
        <sz val="10"/>
        <color indexed="8"/>
        <rFont val="Times New Roman"/>
        <family val="1"/>
        <charset val="186"/>
      </rPr>
      <t xml:space="preserve">Apyvartos lėšos </t>
    </r>
    <r>
      <rPr>
        <b/>
        <sz val="10"/>
        <color indexed="8"/>
        <rFont val="Times New Roman"/>
        <family val="1"/>
        <charset val="186"/>
      </rPr>
      <t>(AL)</t>
    </r>
  </si>
  <si>
    <r>
      <t xml:space="preserve">2.1.7.1. laisvi biudžeto lėšų likučiai </t>
    </r>
    <r>
      <rPr>
        <b/>
        <sz val="10"/>
        <rFont val="Times New Roman"/>
        <family val="1"/>
        <charset val="186"/>
      </rPr>
      <t>(AL (LBL))</t>
    </r>
  </si>
  <si>
    <r>
      <t xml:space="preserve">2.1.7.2. biudžetinių įstaigų pajamų likučiai </t>
    </r>
    <r>
      <rPr>
        <b/>
        <sz val="10"/>
        <rFont val="Times New Roman"/>
        <family val="1"/>
        <charset val="186"/>
      </rPr>
      <t>(AL (BIPL))</t>
    </r>
  </si>
  <si>
    <r>
      <t xml:space="preserve">2.1.7.3.  aplinkos apsaugos specialiosios programos laisvi likučiai (sveikatos apsaugos priemonės)  </t>
    </r>
    <r>
      <rPr>
        <b/>
        <sz val="10"/>
        <rFont val="Times New Roman"/>
        <family val="1"/>
        <charset val="186"/>
      </rPr>
      <t>(AL(SAP))</t>
    </r>
  </si>
  <si>
    <r>
      <t xml:space="preserve">2.1.7.4. aplinkos apsaugos specialiosios programos laisvi likučiai </t>
    </r>
    <r>
      <rPr>
        <b/>
        <sz val="10"/>
        <rFont val="Times New Roman"/>
        <family val="1"/>
        <charset val="186"/>
      </rPr>
      <t>(AL(AA))</t>
    </r>
  </si>
  <si>
    <r>
      <t xml:space="preserve">2.1.8.Savivaldybei grąžintos (kompensuotos) ankstesniais metais panaudotų paskolų lėšos </t>
    </r>
    <r>
      <rPr>
        <b/>
        <sz val="10"/>
        <rFont val="Times New Roman"/>
        <family val="1"/>
        <charset val="186"/>
      </rPr>
      <t>(SB kompens.)</t>
    </r>
  </si>
  <si>
    <r>
      <t xml:space="preserve">2.2.1. Valstybės biudžeto lėšos </t>
    </r>
    <r>
      <rPr>
        <b/>
        <sz val="10"/>
        <rFont val="Times New Roman"/>
        <family val="1"/>
        <charset val="186"/>
      </rPr>
      <t>(VB)</t>
    </r>
  </si>
  <si>
    <r>
      <t xml:space="preserve">2.2.2. Europos Sąjungos lėšos </t>
    </r>
    <r>
      <rPr>
        <b/>
        <sz val="10"/>
        <rFont val="Times New Roman"/>
        <family val="1"/>
        <charset val="186"/>
      </rPr>
      <t>(ES)</t>
    </r>
  </si>
  <si>
    <r>
      <t xml:space="preserve">2.2.3. Kelių priežiūros ir plėtros programos lėšos </t>
    </r>
    <r>
      <rPr>
        <b/>
        <sz val="10"/>
        <rFont val="Times New Roman"/>
        <family val="1"/>
        <charset val="186"/>
      </rPr>
      <t>(KP)</t>
    </r>
  </si>
  <si>
    <r>
      <t xml:space="preserve">2.2.4. Privalomojo sveikatos draudimo fondo lėšos </t>
    </r>
    <r>
      <rPr>
        <b/>
        <sz val="10"/>
        <rFont val="Times New Roman"/>
        <family val="1"/>
        <charset val="186"/>
      </rPr>
      <t>(PSDF</t>
    </r>
    <r>
      <rPr>
        <sz val="10"/>
        <rFont val="Times New Roman"/>
        <family val="1"/>
        <charset val="186"/>
      </rPr>
      <t>)</t>
    </r>
  </si>
  <si>
    <r>
      <t xml:space="preserve">2.2.5. Privatizavimo fondo lėšos </t>
    </r>
    <r>
      <rPr>
        <b/>
        <sz val="10"/>
        <rFont val="Times New Roman"/>
        <family val="1"/>
        <charset val="186"/>
      </rPr>
      <t>(PF)</t>
    </r>
  </si>
  <si>
    <r>
      <t xml:space="preserve">2.2.6. Kitos lėšos </t>
    </r>
    <r>
      <rPr>
        <b/>
        <sz val="10"/>
        <rFont val="Times New Roman"/>
        <family val="1"/>
        <charset val="186"/>
      </rPr>
      <t>(KT)</t>
    </r>
  </si>
  <si>
    <t>Rengti ir įgyvendinti projektus rajono infrastruktūros objektų, viešųjų erdvių ir pastatų būklės gerinimui</t>
  </si>
  <si>
    <t>Didinti savivaldybės valdymo bei teikiamų viešųjų paslaugų efektyvumą</t>
  </si>
  <si>
    <t>Rengti ir įgyvendinti projektus savivaldybės valdymo ir viešųjų paslaugų kokybei gerinti</t>
  </si>
  <si>
    <t>Rekonstruotų viešųjų pastatų skaičius</t>
  </si>
  <si>
    <t>Įkurtų daugiafunkcinių centrų skaičius</t>
  </si>
  <si>
    <t>Modernizuotų viešųjų pastatų skaičius</t>
  </si>
  <si>
    <t>Atnaujintų daugiabučių namų skaičius</t>
  </si>
  <si>
    <t>Kvalifikaciją tobulinusių asmenų skaičius</t>
  </si>
  <si>
    <t>Parengtos projektinės dokumentacijos skaičius</t>
  </si>
  <si>
    <t>Parengtų strateginio planavimo dokumentų skaičius</t>
  </si>
  <si>
    <t>Įrengtų inžinerinių tinklų atnaujinimo ir plėtros projektų skaičius</t>
  </si>
  <si>
    <t>Įgyvendintų bendradarbiavimo projektų skaičius</t>
  </si>
  <si>
    <t>Įdiegtų informacinių sistemų skaičius</t>
  </si>
  <si>
    <t>Įgyvendintų viešosios aplinkos ir infrastruktūros gerinimo projektų skaičius</t>
  </si>
  <si>
    <t>Parengtų teritorijų planavimo dokumentų skaičius</t>
  </si>
  <si>
    <t>Asignavimai 2013-iesiems m.</t>
  </si>
  <si>
    <t>Pakeitimas / Naujas</t>
  </si>
  <si>
    <t>INVESTICIJŲ PROGRAMOS VERTINIMO KRITERIJŲ SUVESTINĖ</t>
  </si>
  <si>
    <t>R-3-1-1</t>
  </si>
  <si>
    <t>R-3-1-2</t>
  </si>
  <si>
    <t>R-3-2-1</t>
  </si>
  <si>
    <t>R-3-2-2</t>
  </si>
  <si>
    <t>P-3-1-1-1</t>
  </si>
  <si>
    <t>P-3-1-1-2</t>
  </si>
  <si>
    <t>P-3-1-1-3</t>
  </si>
  <si>
    <t>P-3-1-2-2</t>
  </si>
  <si>
    <t>P-3-1-3-1</t>
  </si>
  <si>
    <t>P-3-1-4-1</t>
  </si>
  <si>
    <t>P-3-2-1-2</t>
  </si>
  <si>
    <t>P-3-2-1-3</t>
  </si>
  <si>
    <t>P-3-2-1-4</t>
  </si>
  <si>
    <t>P-3-2-1-5</t>
  </si>
  <si>
    <t>P-3-2-1-6</t>
  </si>
  <si>
    <t>Patvirtintų teritorijų planavimo dokumentų skaičius</t>
  </si>
  <si>
    <t>Savivaldybės strateginio plano įgyvendinimas, (proc.)</t>
  </si>
  <si>
    <t>Uždavinio vertinimo kriterijaus (mato vienetais)</t>
  </si>
  <si>
    <t>1.12</t>
  </si>
  <si>
    <t>Naujosios Akmenės sporto rūmų atnaujinimo, eksploatacijos ir paslaugų teikimas</t>
  </si>
  <si>
    <t>1.11</t>
  </si>
  <si>
    <t>Socialinių būstų, esančių modernizuojamuose daugiabučiuose namuose, atnaujinimas</t>
  </si>
  <si>
    <t>Atnaujintų socialinių būstų skaičius</t>
  </si>
  <si>
    <t>28</t>
  </si>
  <si>
    <t>20</t>
  </si>
  <si>
    <t>1.7</t>
  </si>
  <si>
    <t>24</t>
  </si>
  <si>
    <t>Balansas</t>
  </si>
  <si>
    <t>Akmenės raj. sav. politikų ir darbuotojų administracinių gebėjimų stiprinimas ir kvalifikacijos tobulinimas</t>
  </si>
  <si>
    <t>P-3-1-2-3</t>
  </si>
  <si>
    <t>1;6;9</t>
  </si>
  <si>
    <t>Atnaujintų ar naujai sukurtų viešųjų pastatų, bendruomeninės infrastruktūros ir gyvenamosios aplinkos gerinimo objektų skaičius</t>
  </si>
  <si>
    <t>Akmenės rajono savivaldybės Ramučių gimnazijos pastato Naujojoje Akmenėje, Ramučių g. 5, modernizavimas</t>
  </si>
  <si>
    <t>21</t>
  </si>
  <si>
    <t>KT</t>
  </si>
  <si>
    <t>Kitos lėšos</t>
  </si>
  <si>
    <t>Eil. Nr.</t>
  </si>
  <si>
    <t>Investicijų projektai, numatyti Investicijų programoje</t>
  </si>
  <si>
    <t xml:space="preserve">Planuojama paskolos suma iš banko   </t>
  </si>
  <si>
    <t xml:space="preserve">Planuojama paskolos suma iš EIB           </t>
  </si>
  <si>
    <t>Iš jų ilgalaikiam turtui</t>
  </si>
  <si>
    <t>22</t>
  </si>
  <si>
    <t>23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</si>
  <si>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</si>
  <si>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</si>
  <si>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</si>
  <si>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</si>
  <si>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</si>
  <si>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</si>
  <si>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</si>
  <si>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</si>
  <si>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</si>
  <si>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</si>
  <si>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</si>
  <si>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</si>
  <si>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 priedas</t>
  </si>
  <si>
    <t>3 programos 1 priedas</t>
  </si>
  <si>
    <t>3 programos 2 priedas</t>
  </si>
  <si>
    <t>Patvirtinta taryboje iš viso</t>
  </si>
  <si>
    <t>Eurais</t>
  </si>
  <si>
    <t>2015 m. asignavimų poreikis</t>
  </si>
  <si>
    <t>2015 m. patvirtinta taryboje</t>
  </si>
  <si>
    <t>2016 m. asignavimų projektas</t>
  </si>
  <si>
    <t>2017 m. asignavimų projektas</t>
  </si>
  <si>
    <t>2015 m.</t>
  </si>
  <si>
    <t xml:space="preserve">2016 m. </t>
  </si>
  <si>
    <t xml:space="preserve">2017 m. </t>
  </si>
  <si>
    <t>Modernizuoti bendrojo ugdymo įstaigas ir aprūpinti jas gamtos, technologijų, menų ir kitų mokslų laboratorijų įranga</t>
  </si>
  <si>
    <t>Naujosios Akmenės m. stadiono atnaujinimas</t>
  </si>
  <si>
    <t>Kompleksinis Naujosios Akmenės miesto daugiabučių namų gyvenamųjų kvartalų sutvarkymas (Žalgirio, V. Kudirkos, teritorija tarp Taikos ir V. Kudirkos g.)</t>
  </si>
  <si>
    <t>Plėtoti kelias savivaldybes jungiančių turizmo trasų ir turizmo maršrutų informacinę infrastruktūrą</t>
  </si>
  <si>
    <t>Geologinio parko Akmenės rajono savivaldybėje įkūrimas</t>
  </si>
  <si>
    <t xml:space="preserve">Projektinės ir kitos dokumentacijos rengimas ES struktūrinių ir kitų fondų paramai gauti </t>
  </si>
  <si>
    <t>1.12, 17</t>
  </si>
  <si>
    <t>VšĮ  Naujosios Akmenės ligoninės pastatų Naujojoje Akmenėje, Žemaitijos g. 6, rekonstravimas</t>
  </si>
  <si>
    <t>Viešųjų pastatų modernizavimas didinant energetinį efektyvumą</t>
  </si>
  <si>
    <t>Pastatas, Taikos g. 20, Naujoji Akmenė</t>
  </si>
  <si>
    <t>Naujosios Akmenės vaikų lopšelis-darželis “Atžalynas”</t>
  </si>
  <si>
    <t>Akmenės rajono savivaldybės administracijos pastatas</t>
  </si>
  <si>
    <t>Akmenės rajono jaunimo ir suaugusiųjų švietimo centras</t>
  </si>
  <si>
    <t>Naujosios Akmenės Žalgirio g. ir Lazdynų Pelėdos g. atkarpų kompleksinis sutvarkymas</t>
  </si>
  <si>
    <t>Vandentiekio ir nuotekų surinkimo tinklų atnaujinimas Akmenės rajono savivaldybėje</t>
  </si>
  <si>
    <t>Dviračių tako tarp Respublikos g. ir Stipirkių g. Naujoje Akmenės rekonstravimas ir įrengimas</t>
  </si>
  <si>
    <t>Apšvietimo tinklų atnaujinimas ir plėtra, mažinant energijos suvartojimą Akmenės rajono savivaldybėje</t>
  </si>
  <si>
    <t>Akmenės, Ventos miestų ir Papilės miestelio paviršinių (lietaus) nuotekų sistemų modernizavimas ir plėtra</t>
  </si>
  <si>
    <t>Naujosios Akmenės miesto paviršinių (lietaus) nuotekų sistemos modernizavimas ir plėtra</t>
  </si>
  <si>
    <t>1.12, 1.13</t>
  </si>
  <si>
    <t>Įgyvendintų projektų skaičius</t>
  </si>
  <si>
    <t>Didinti vaikų ikimokyklinio ir priešmokyklinio ugdymo prieinamumą Akmenės rajono savivaldybėje</t>
  </si>
  <si>
    <t>Didinti būsto prieinamumą pažeidžiamoms gyventojų grupėms Akmenės rajono savivaldybėje</t>
  </si>
  <si>
    <t>Plėtoti stacionarių ir nestacionarių socialinių paslaugų infrastruktūrą Akmenės rajono savivaldybėje</t>
  </si>
  <si>
    <t>1.1</t>
  </si>
  <si>
    <t>Kompleksiškai atnaujinti Akmenės, Ventos miestų ir Papilės miestelio benrduomeninę ir viešąją infrastruktūrą</t>
  </si>
  <si>
    <t xml:space="preserve">Akmenės rajono savivaldybės tarybos 2015 m. vasario 12 d. sprendimo Nr. T-     </t>
  </si>
  <si>
    <t>AL (LBL)</t>
  </si>
  <si>
    <t>Plėtoti vaikų ir jaunimo neformalaus ugdymo galimybes Akmenės rajono savivaldybėje</t>
  </si>
  <si>
    <t>Strateginio planavimo priežiūros ir finansų valdymo sistemų diegimas ir įgyvendinimas Akmenės rajono savivaldybėje</t>
  </si>
  <si>
    <t>1.12; 29</t>
  </si>
  <si>
    <t>2015-2017 M. AKMENĖS RAJONO SAVIVALDYBĖS</t>
  </si>
  <si>
    <t>Gerinti pirminės sveikatos priežiūros ir visuomeninės sveikatos priežiūros kokybę ir prieinamumą</t>
  </si>
  <si>
    <t>Akmenės rajono savivaldybės Kultūros centro Akmenės kultūros namų pastato, Sodo g. 1, Akmenėje, modernizavimas</t>
  </si>
  <si>
    <t>Išsaugoti ir stiprinti gyventojų sveikatą, vykdyti ligų prevenciją</t>
  </si>
  <si>
    <t>Vandens tiekimo ir nuotekų tvarkymo infrastruktūros plėtra Akmenės rajone</t>
  </si>
  <si>
    <t xml:space="preserve"> Laisvi biudžeto lėšų likučiai</t>
  </si>
  <si>
    <t xml:space="preserve"> AL (LBL)</t>
  </si>
  <si>
    <t>Akmenės miesto geriamojo vandens kokybės gerinimas ir vandnetiekio tinklų atnaujinimas</t>
  </si>
  <si>
    <t>1.2</t>
  </si>
  <si>
    <t>1.3</t>
  </si>
  <si>
    <t>1.4</t>
  </si>
  <si>
    <t>1.5</t>
  </si>
  <si>
    <t>1.6</t>
  </si>
  <si>
    <t>1.8</t>
  </si>
  <si>
    <t>1.9</t>
  </si>
  <si>
    <t>1.10</t>
  </si>
  <si>
    <t>Nuotekų tinklų statyba Akmenės I kaime</t>
  </si>
  <si>
    <t>Vandentiekio ir nuotekų tinklų statyba Akmenėje</t>
  </si>
  <si>
    <t>Vandentiekio ir nuotekų tinklų statyba Akmenės III kaime</t>
  </si>
  <si>
    <t>Vandentiekio ir nuotekų tinklų, nuotekų valymo įrenginių ir vandens gerinimo įrenginių statyba Kruopių miestelyje</t>
  </si>
  <si>
    <t>Nuotekų tinklų ir vanend gerinimo įrenginių statyba Daubiškių kaime</t>
  </si>
  <si>
    <t>Vandens gerinimo įrenginių rekonstrukcija Naujosios Akmenės mieste</t>
  </si>
  <si>
    <t>Vandens gerinimo įrenginių rekonstrukcija Ventos mieste</t>
  </si>
  <si>
    <t>Geriamojo vandens tiekimo ir nuotekų tvarkymo infrastruktūros inventorizacija</t>
  </si>
  <si>
    <t>Vandentiekio ir nuotekų tinklų, nuotekų valymo įrenginių ir vandens gerinimo įrenginių statyba Sablauskių kaime</t>
  </si>
  <si>
    <t>Ventos ambulatorija</t>
  </si>
  <si>
    <t>Papilės ambulatorija</t>
  </si>
  <si>
    <t>Papilės seniūnijos administracinis pastatas</t>
  </si>
  <si>
    <t>4.1</t>
  </si>
  <si>
    <t>Vaikų žaidimų aikštelių ir lauko treniruoklių įrengimas (Akmenės seniūnija)</t>
  </si>
  <si>
    <t>4.2</t>
  </si>
  <si>
    <t>Vaizdo stebėjimo kamerų įrengimas prie SKATE parko, Daukanto g., Gamttos ir kultūros parke (Akmenės seniūnija)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</si>
  <si>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</si>
  <si>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</si>
  <si>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</si>
  <si>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</si>
  <si>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</si>
  <si>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</si>
  <si>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</si>
  <si>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</si>
  <si>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</si>
  <si>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</si>
  <si>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</si>
  <si>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Akmenės seniūnijos pastato renovavimas</t>
  </si>
  <si>
    <t>Ventos seniūnijos administracinio pastato renovavimas</t>
  </si>
  <si>
    <t>17.12</t>
  </si>
  <si>
    <t>Maldos namų (Ventos g. 26, Venta) renovavimas</t>
  </si>
  <si>
    <t>17.13</t>
  </si>
  <si>
    <t>Bendruomeninės paskirties pastatų įrengimas/atnaujinimas (Žerkščių k., S. Naujikų k. )</t>
  </si>
  <si>
    <t>4.3</t>
  </si>
  <si>
    <t>4.4</t>
  </si>
  <si>
    <t>4.5</t>
  </si>
  <si>
    <t>4.6</t>
  </si>
  <si>
    <t>Automobilių stovėjimo aikštelių projektavimas ir įrengimas, atnaujinimas, praplėtimas (prie Ventos g. 44, Žemaičių g. 31, kultūros namų, parduotuvės „Maxima“)/vnt./4 (Ventos seniūnija)</t>
  </si>
  <si>
    <t>Viešųjų erdvių  įrengimas Ventos g. (prie muzikos mokyklos)/vnt./1 (Ventos seniūnija)</t>
  </si>
  <si>
    <t>Privažiavimo prie Ventos g. 26 namo praplėtimo ir mašinų stovėjimo aikštelės įrengimo projektavimo darbai/vnt./1 (Ventos seniūnija)</t>
  </si>
  <si>
    <t>Laikrodžio įrengimas miesto centre/vnt./1 (Ventos seniūnija)</t>
  </si>
  <si>
    <t>6.1</t>
  </si>
  <si>
    <t>Atviro jaunimo sporto centro įkūrimas Žemaičių g. (buvusio pašto pastate)/vnt./1 (Ventos seniūnija)</t>
  </si>
  <si>
    <t>Socialinio būsto įrengimas Bausko g. 7 name/butų skaičius/12</t>
  </si>
  <si>
    <t>Akmenės laisvosios ekonominės zonos infrastruktūros įrengimas ir plėtra</t>
  </si>
  <si>
    <t>17.14</t>
  </si>
  <si>
    <t>Pirties pastato, Ventos g. 3A, Venta, rekonstravimas</t>
  </si>
  <si>
    <t>ITVP</t>
  </si>
  <si>
    <t>Kregždutė  (Papilės gimnazija), šilumos ūkio atnaujinimas</t>
  </si>
  <si>
    <t>Akmenės rajono Akmenės gimnazijos mokslo paskirties pastato, Laižuvos g. 10A Akmenėje, rekonstravimas, įrengiant sporto salę</t>
  </si>
  <si>
    <t>Dviračių tako tarp P. Jodelės g., Statybininkų g. ir Eibučių g. Naujoje Akmenės rekonstravimas ir įrengimas</t>
  </si>
  <si>
    <t>AKMENĖS RAJONO SAVIVALDYBĖS 2015 M. BIUDŽETE PLANUOJAMI ASIGNAVIMAI IŠ SKOLINTŲ LĖŠŲ INVESTICIJŲ PROJEKTAMS FINANSUOTI</t>
  </si>
  <si>
    <t>Akmenės rajono Akmenės gimnazijos mokslo paskirties pastato, Laižuvos g. 10a Akmenėje, rekonstravimas, įrengiant sporto salę                                                                 (vykdytojai: Akmenės rajono savivaldybės administracija ir Akmenės rajono Akmenės gimnazija)</t>
  </si>
  <si>
    <t>Akmenės rajono savivaldybės Akmenės krašto muziejaus pastato ir jo aplinkos atnaujinimas (vykdytojai: Akmenės rajono savivaldybės administracija ir Akmenės rajono savivaldybės Akmenės krašto muziejus)</t>
  </si>
  <si>
    <t>Paraiška biudžetiniams 2015-iesiems m.</t>
  </si>
  <si>
    <t>2017-ųjų m. asignavimų poreikis</t>
  </si>
  <si>
    <t>2017-ųjų m.   planas</t>
  </si>
  <si>
    <t>1.12, 1.1</t>
  </si>
  <si>
    <t>Pastato, Taikos g. 20, Naujojoje Akmenėje, rekonstravimas ir pritaikymas Meno mokyklos reikmėms</t>
  </si>
  <si>
    <t>Pastato, Taikos g. 20, Naujojoje Akmenėje, rekonstravimas ir pritaikymas Meno mokyklos reikmėms (vykdytojai: Akmenės rajono savivaldybės administracija ir Naujosios Akmenės muzikos mokykla)</t>
  </si>
  <si>
    <t>Asignavimai 2014 m.</t>
  </si>
  <si>
    <t>Bazinis biudžetas</t>
  </si>
  <si>
    <t>Naujosios Akmenės muzikos mokykla</t>
  </si>
  <si>
    <t>Administracija</t>
  </si>
  <si>
    <t>Akmenės rajono Akmenės gimnazija</t>
  </si>
  <si>
    <t>Akmenės Dabikinės dvaro atkūrimas, pritaikant jį kultūrinio turizmo reikmėms (vykdytojai: Akmenės rajono savivaldybės administracija ir Akmenės rajono savivaldybės Akmenės krašto muziejus)</t>
  </si>
  <si>
    <t>Akmenės rajono savivaldybės Akmenės krašto muziejus</t>
  </si>
  <si>
    <t>Naujosios Akmenės m. stadiono atnaujinimas (vykdytojai: Akmenės rajono savivaldybės administracija ir  Akmenės rajono sporto centras)</t>
  </si>
  <si>
    <t>Akmenės rajono sporto centras</t>
  </si>
  <si>
    <t>Gintarėlis su muzikos mokykla</t>
  </si>
  <si>
    <t>SB (SK)</t>
  </si>
  <si>
    <t>1.12, 24</t>
  </si>
  <si>
    <t>VšĮ  Naujosios Akmenės ligoninės autoklavinės (Žemaitijos g. 6, Naujoji Akmenė) modernizavimas</t>
  </si>
  <si>
    <t>Ventos pramoninės zonos infrastruktūros įrengimas ir plėtra</t>
  </si>
  <si>
    <t>Rekonstruotų ir/ar naujai įrengtų pėsčiųjų ir dviračių takų ilgis, km</t>
  </si>
  <si>
    <t>Naujosios Akmenės Kultūros namų aplinkos (viešosios erdvės) sutvarkymas ir pritaikymas bendruomenės ir verslo poreikiams</t>
  </si>
  <si>
    <t>Akmenės rajono vaikų globos namų globotinių užimtumo kokybės gerinimas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</si>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</sst>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(* #,##0.00_);_(* \(#,##0.00\);_(* &quot;-&quot;??_);_(@_)"/>
    <numFmt numFmtId="172" formatCode="0.0"/>
    <numFmt numFmtId="173" formatCode="0.000"/>
    <numFmt numFmtId="190" formatCode="_(* #,##0_);_(* \(#,##0\);_(* &quot;-&quot;??_);_(@_)"/>
    <numFmt numFmtId="191" formatCode="_(* #,##0.0000_);_(* \(#,##0.0000\);_(* &quot;-&quot;??_);_(@_)"/>
  </numFmts>
  <fonts count="28" x14ac:knownFonts="1">
    <font>
      <sz val="10"/>
      <name val="Arial"/>
    </font>
    <font>
      <sz val="10"/>
      <name val="Arial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u/>
      <sz val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rgb="FF00B050"/>
      <name val="Times New Roman"/>
      <family val="1"/>
      <charset val="186"/>
    </font>
    <font>
      <b/>
      <sz val="8"/>
      <color rgb="FF00B050"/>
      <name val="Times New Roman"/>
      <family val="1"/>
      <charset val="186"/>
    </font>
    <font>
      <sz val="8"/>
      <color theme="0" tint="-0.499984740745262"/>
      <name val="Times New Roman"/>
      <family val="1"/>
      <charset val="186"/>
    </font>
    <font>
      <b/>
      <sz val="8"/>
      <color theme="0" tint="-0.49998474074526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10" fillId="0" borderId="0" applyFont="0" applyFill="0" applyBorder="0" applyAlignment="0" applyProtection="0"/>
    <xf numFmtId="0" fontId="16" fillId="0" borderId="0"/>
    <xf numFmtId="171" fontId="1" fillId="0" borderId="0" applyFont="0" applyFill="0" applyBorder="0" applyAlignment="0" applyProtection="0"/>
    <xf numFmtId="0" fontId="10" fillId="0" borderId="0"/>
  </cellStyleXfs>
  <cellXfs count="61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 applyAlignment="1"/>
    <xf numFmtId="0" fontId="12" fillId="0" borderId="0" xfId="0" applyFont="1"/>
    <xf numFmtId="0" fontId="14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172" fontId="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12" fillId="0" borderId="0" xfId="0" applyFont="1" applyBorder="1"/>
    <xf numFmtId="0" fontId="12" fillId="0" borderId="0" xfId="0" applyFont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2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2" fontId="2" fillId="0" borderId="6" xfId="0" applyNumberFormat="1" applyFont="1" applyFill="1" applyBorder="1" applyAlignment="1">
      <alignment horizontal="center" vertical="center" wrapText="1"/>
    </xf>
    <xf numFmtId="173" fontId="14" fillId="0" borderId="0" xfId="0" applyNumberFormat="1" applyFont="1" applyAlignment="1">
      <alignment horizontal="center" vertical="center" wrapText="1"/>
    </xf>
    <xf numFmtId="173" fontId="14" fillId="0" borderId="1" xfId="0" applyNumberFormat="1" applyFont="1" applyFill="1" applyBorder="1" applyAlignment="1">
      <alignment vertical="center" wrapText="1"/>
    </xf>
    <xf numFmtId="173" fontId="14" fillId="0" borderId="0" xfId="0" applyNumberFormat="1" applyFont="1" applyBorder="1" applyAlignment="1">
      <alignment horizontal="center" vertical="center" wrapText="1"/>
    </xf>
    <xf numFmtId="173" fontId="20" fillId="0" borderId="0" xfId="0" applyNumberFormat="1" applyFont="1" applyAlignment="1">
      <alignment horizontal="center" vertical="center" wrapText="1"/>
    </xf>
    <xf numFmtId="173" fontId="20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vertical="center" wrapText="1"/>
    </xf>
    <xf numFmtId="173" fontId="14" fillId="11" borderId="1" xfId="0" applyNumberFormat="1" applyFont="1" applyFill="1" applyBorder="1" applyAlignment="1">
      <alignment vertical="center" wrapText="1"/>
    </xf>
    <xf numFmtId="173" fontId="14" fillId="0" borderId="0" xfId="0" applyNumberFormat="1" applyFont="1" applyAlignment="1">
      <alignment horizontal="left" vertical="center" wrapText="1"/>
    </xf>
    <xf numFmtId="190" fontId="2" fillId="0" borderId="7" xfId="3" applyNumberFormat="1" applyFont="1" applyFill="1" applyBorder="1" applyAlignment="1">
      <alignment horizontal="center" vertical="center"/>
    </xf>
    <xf numFmtId="190" fontId="2" fillId="0" borderId="0" xfId="3" applyNumberFormat="1" applyFont="1" applyAlignment="1">
      <alignment horizontal="center" vertical="center"/>
    </xf>
    <xf numFmtId="190" fontId="3" fillId="0" borderId="0" xfId="3" applyNumberFormat="1" applyFont="1" applyAlignment="1">
      <alignment horizontal="center" vertical="center"/>
    </xf>
    <xf numFmtId="190" fontId="8" fillId="0" borderId="0" xfId="3" applyNumberFormat="1" applyFont="1" applyAlignment="1">
      <alignment vertical="top"/>
    </xf>
    <xf numFmtId="190" fontId="2" fillId="0" borderId="1" xfId="3" applyNumberFormat="1" applyFont="1" applyFill="1" applyBorder="1" applyAlignment="1">
      <alignment horizontal="center" vertical="center"/>
    </xf>
    <xf numFmtId="190" fontId="2" fillId="0" borderId="5" xfId="3" applyNumberFormat="1" applyFont="1" applyBorder="1" applyAlignment="1">
      <alignment horizontal="center" vertical="center" textRotation="90" wrapText="1"/>
    </xf>
    <xf numFmtId="190" fontId="2" fillId="0" borderId="5" xfId="3" applyNumberFormat="1" applyFont="1" applyFill="1" applyBorder="1" applyAlignment="1">
      <alignment horizontal="center" vertical="center" textRotation="90" wrapText="1"/>
    </xf>
    <xf numFmtId="190" fontId="2" fillId="0" borderId="5" xfId="3" applyNumberFormat="1" applyFont="1" applyBorder="1" applyAlignment="1">
      <alignment horizontal="center" vertical="center" textRotation="90"/>
    </xf>
    <xf numFmtId="190" fontId="2" fillId="0" borderId="6" xfId="3" applyNumberFormat="1" applyFont="1" applyBorder="1" applyAlignment="1">
      <alignment horizontal="center" vertical="center" textRotation="90"/>
    </xf>
    <xf numFmtId="190" fontId="3" fillId="3" borderId="8" xfId="3" applyNumberFormat="1" applyFont="1" applyFill="1" applyBorder="1" applyAlignment="1">
      <alignment horizontal="center" vertical="center"/>
    </xf>
    <xf numFmtId="190" fontId="3" fillId="4" borderId="9" xfId="3" applyNumberFormat="1" applyFont="1" applyFill="1" applyBorder="1" applyAlignment="1">
      <alignment horizontal="center" vertical="center"/>
    </xf>
    <xf numFmtId="190" fontId="2" fillId="0" borderId="10" xfId="3" applyNumberFormat="1" applyFont="1" applyFill="1" applyBorder="1" applyAlignment="1">
      <alignment horizontal="center" vertical="center"/>
    </xf>
    <xf numFmtId="190" fontId="2" fillId="0" borderId="11" xfId="3" applyNumberFormat="1" applyFont="1" applyFill="1" applyBorder="1" applyAlignment="1">
      <alignment horizontal="center" vertical="center"/>
    </xf>
    <xf numFmtId="190" fontId="2" fillId="0" borderId="12" xfId="3" applyNumberFormat="1" applyFont="1" applyFill="1" applyBorder="1" applyAlignment="1">
      <alignment horizontal="center" vertical="center"/>
    </xf>
    <xf numFmtId="190" fontId="2" fillId="0" borderId="13" xfId="3" applyNumberFormat="1" applyFont="1" applyFill="1" applyBorder="1" applyAlignment="1">
      <alignment horizontal="center" vertical="center"/>
    </xf>
    <xf numFmtId="190" fontId="2" fillId="0" borderId="14" xfId="3" applyNumberFormat="1" applyFont="1" applyFill="1" applyBorder="1" applyAlignment="1">
      <alignment horizontal="center" vertical="center"/>
    </xf>
    <xf numFmtId="190" fontId="2" fillId="0" borderId="15" xfId="3" applyNumberFormat="1" applyFont="1" applyFill="1" applyBorder="1" applyAlignment="1">
      <alignment horizontal="center" vertical="center"/>
    </xf>
    <xf numFmtId="190" fontId="2" fillId="0" borderId="0" xfId="3" applyNumberFormat="1" applyFont="1" applyBorder="1" applyAlignment="1">
      <alignment horizontal="center" vertical="center"/>
    </xf>
    <xf numFmtId="190" fontId="3" fillId="5" borderId="2" xfId="3" applyNumberFormat="1" applyFont="1" applyFill="1" applyBorder="1" applyAlignment="1">
      <alignment horizontal="center" vertical="center"/>
    </xf>
    <xf numFmtId="190" fontId="3" fillId="5" borderId="1" xfId="3" applyNumberFormat="1" applyFont="1" applyFill="1" applyBorder="1" applyAlignment="1">
      <alignment horizontal="center" vertical="center"/>
    </xf>
    <xf numFmtId="190" fontId="3" fillId="5" borderId="3" xfId="3" applyNumberFormat="1" applyFont="1" applyFill="1" applyBorder="1" applyAlignment="1">
      <alignment horizontal="center" vertical="center"/>
    </xf>
    <xf numFmtId="190" fontId="3" fillId="5" borderId="16" xfId="3" applyNumberFormat="1" applyFont="1" applyFill="1" applyBorder="1" applyAlignment="1">
      <alignment horizontal="center" vertical="center"/>
    </xf>
    <xf numFmtId="190" fontId="3" fillId="5" borderId="17" xfId="3" applyNumberFormat="1" applyFont="1" applyFill="1" applyBorder="1" applyAlignment="1">
      <alignment horizontal="center" vertical="center"/>
    </xf>
    <xf numFmtId="190" fontId="3" fillId="0" borderId="0" xfId="3" applyNumberFormat="1" applyFont="1" applyBorder="1" applyAlignment="1">
      <alignment horizontal="center" vertical="center"/>
    </xf>
    <xf numFmtId="190" fontId="2" fillId="0" borderId="2" xfId="3" applyNumberFormat="1" applyFont="1" applyFill="1" applyBorder="1" applyAlignment="1">
      <alignment horizontal="center" vertical="center"/>
    </xf>
    <xf numFmtId="190" fontId="2" fillId="0" borderId="3" xfId="3" applyNumberFormat="1" applyFont="1" applyFill="1" applyBorder="1" applyAlignment="1">
      <alignment horizontal="center" vertical="center"/>
    </xf>
    <xf numFmtId="190" fontId="2" fillId="0" borderId="18" xfId="3" applyNumberFormat="1" applyFont="1" applyFill="1" applyBorder="1" applyAlignment="1">
      <alignment horizontal="center" vertical="center"/>
    </xf>
    <xf numFmtId="190" fontId="2" fillId="0" borderId="19" xfId="3" applyNumberFormat="1" applyFont="1" applyFill="1" applyBorder="1" applyAlignment="1">
      <alignment horizontal="center" vertical="center"/>
    </xf>
    <xf numFmtId="190" fontId="2" fillId="0" borderId="20" xfId="3" applyNumberFormat="1" applyFont="1" applyFill="1" applyBorder="1" applyAlignment="1">
      <alignment horizontal="center" vertical="center"/>
    </xf>
    <xf numFmtId="190" fontId="2" fillId="0" borderId="21" xfId="3" applyNumberFormat="1" applyFont="1" applyFill="1" applyBorder="1" applyAlignment="1">
      <alignment horizontal="center" vertical="center"/>
    </xf>
    <xf numFmtId="190" fontId="2" fillId="0" borderId="17" xfId="3" applyNumberFormat="1" applyFont="1" applyFill="1" applyBorder="1" applyAlignment="1">
      <alignment horizontal="center" vertical="center"/>
    </xf>
    <xf numFmtId="190" fontId="21" fillId="0" borderId="3" xfId="3" applyNumberFormat="1" applyFont="1" applyFill="1" applyBorder="1" applyAlignment="1">
      <alignment horizontal="center" vertical="center"/>
    </xf>
    <xf numFmtId="190" fontId="3" fillId="0" borderId="1" xfId="3" applyNumberFormat="1" applyFont="1" applyFill="1" applyBorder="1" applyAlignment="1">
      <alignment horizontal="center" vertical="center"/>
    </xf>
    <xf numFmtId="190" fontId="2" fillId="0" borderId="22" xfId="3" applyNumberFormat="1" applyFont="1" applyBorder="1" applyAlignment="1">
      <alignment horizontal="center" vertical="center"/>
    </xf>
    <xf numFmtId="190" fontId="3" fillId="0" borderId="18" xfId="3" applyNumberFormat="1" applyFont="1" applyFill="1" applyBorder="1" applyAlignment="1">
      <alignment horizontal="center" vertical="center"/>
    </xf>
    <xf numFmtId="190" fontId="3" fillId="0" borderId="17" xfId="3" applyNumberFormat="1" applyFont="1" applyFill="1" applyBorder="1" applyAlignment="1">
      <alignment horizontal="center" vertical="center"/>
    </xf>
    <xf numFmtId="190" fontId="2" fillId="11" borderId="2" xfId="3" applyNumberFormat="1" applyFont="1" applyFill="1" applyBorder="1" applyAlignment="1">
      <alignment horizontal="center" vertical="center"/>
    </xf>
    <xf numFmtId="190" fontId="2" fillId="0" borderId="23" xfId="3" applyNumberFormat="1" applyFont="1" applyFill="1" applyBorder="1" applyAlignment="1">
      <alignment horizontal="center" vertical="center"/>
    </xf>
    <xf numFmtId="190" fontId="3" fillId="2" borderId="1" xfId="3" applyNumberFormat="1" applyFont="1" applyFill="1" applyBorder="1" applyAlignment="1">
      <alignment horizontal="center" vertical="center"/>
    </xf>
    <xf numFmtId="190" fontId="2" fillId="2" borderId="3" xfId="3" applyNumberFormat="1" applyFont="1" applyFill="1" applyBorder="1" applyAlignment="1">
      <alignment horizontal="center" vertical="center"/>
    </xf>
    <xf numFmtId="190" fontId="2" fillId="2" borderId="17" xfId="3" applyNumberFormat="1" applyFont="1" applyFill="1" applyBorder="1" applyAlignment="1">
      <alignment horizontal="center" vertical="center"/>
    </xf>
    <xf numFmtId="190" fontId="3" fillId="2" borderId="3" xfId="3" applyNumberFormat="1" applyFont="1" applyFill="1" applyBorder="1" applyAlignment="1">
      <alignment horizontal="center" vertical="center"/>
    </xf>
    <xf numFmtId="190" fontId="3" fillId="5" borderId="24" xfId="3" applyNumberFormat="1" applyFont="1" applyFill="1" applyBorder="1" applyAlignment="1">
      <alignment horizontal="center" vertical="center"/>
    </xf>
    <xf numFmtId="190" fontId="3" fillId="5" borderId="25" xfId="3" applyNumberFormat="1" applyFont="1" applyFill="1" applyBorder="1" applyAlignment="1">
      <alignment horizontal="center" vertical="center"/>
    </xf>
    <xf numFmtId="190" fontId="3" fillId="5" borderId="19" xfId="3" applyNumberFormat="1" applyFont="1" applyFill="1" applyBorder="1" applyAlignment="1">
      <alignment horizontal="center" vertical="center"/>
    </xf>
    <xf numFmtId="190" fontId="3" fillId="5" borderId="20" xfId="3" applyNumberFormat="1" applyFont="1" applyFill="1" applyBorder="1" applyAlignment="1">
      <alignment horizontal="center" vertical="center"/>
    </xf>
    <xf numFmtId="190" fontId="3" fillId="5" borderId="21" xfId="3" applyNumberFormat="1" applyFont="1" applyFill="1" applyBorder="1" applyAlignment="1">
      <alignment horizontal="center" vertical="center"/>
    </xf>
    <xf numFmtId="190" fontId="2" fillId="0" borderId="20" xfId="3" applyNumberFormat="1" applyFont="1" applyBorder="1" applyAlignment="1">
      <alignment horizontal="center" vertical="center"/>
    </xf>
    <xf numFmtId="190" fontId="3" fillId="4" borderId="26" xfId="3" applyNumberFormat="1" applyFont="1" applyFill="1" applyBorder="1" applyAlignment="1">
      <alignment horizontal="center" vertical="center"/>
    </xf>
    <xf numFmtId="190" fontId="3" fillId="5" borderId="4" xfId="3" applyNumberFormat="1" applyFont="1" applyFill="1" applyBorder="1" applyAlignment="1">
      <alignment horizontal="center" vertical="center"/>
    </xf>
    <xf numFmtId="190" fontId="3" fillId="5" borderId="5" xfId="3" applyNumberFormat="1" applyFont="1" applyFill="1" applyBorder="1" applyAlignment="1">
      <alignment horizontal="center" vertical="center"/>
    </xf>
    <xf numFmtId="190" fontId="3" fillId="5" borderId="6" xfId="3" applyNumberFormat="1" applyFont="1" applyFill="1" applyBorder="1" applyAlignment="1">
      <alignment horizontal="center" vertical="center"/>
    </xf>
    <xf numFmtId="190" fontId="3" fillId="5" borderId="27" xfId="3" applyNumberFormat="1" applyFont="1" applyFill="1" applyBorder="1" applyAlignment="1">
      <alignment horizontal="center" vertical="center"/>
    </xf>
    <xf numFmtId="190" fontId="3" fillId="3" borderId="28" xfId="3" applyNumberFormat="1" applyFont="1" applyFill="1" applyBorder="1" applyAlignment="1">
      <alignment horizontal="center" vertical="center"/>
    </xf>
    <xf numFmtId="190" fontId="3" fillId="4" borderId="8" xfId="3" applyNumberFormat="1" applyFont="1" applyFill="1" applyBorder="1" applyAlignment="1">
      <alignment horizontal="center" vertical="center"/>
    </xf>
    <xf numFmtId="190" fontId="3" fillId="4" borderId="29" xfId="3" applyNumberFormat="1" applyFont="1" applyFill="1" applyBorder="1" applyAlignment="1">
      <alignment horizontal="center" vertical="center"/>
    </xf>
    <xf numFmtId="190" fontId="3" fillId="4" borderId="30" xfId="3" applyNumberFormat="1" applyFont="1" applyFill="1" applyBorder="1" applyAlignment="1">
      <alignment horizontal="center" vertical="center"/>
    </xf>
    <xf numFmtId="190" fontId="3" fillId="4" borderId="31" xfId="3" applyNumberFormat="1" applyFont="1" applyFill="1" applyBorder="1" applyAlignment="1">
      <alignment horizontal="center" vertical="center"/>
    </xf>
    <xf numFmtId="190" fontId="3" fillId="2" borderId="18" xfId="3" applyNumberFormat="1" applyFont="1" applyFill="1" applyBorder="1" applyAlignment="1">
      <alignment horizontal="center" vertical="center"/>
    </xf>
    <xf numFmtId="190" fontId="2" fillId="0" borderId="32" xfId="3" applyNumberFormat="1" applyFont="1" applyFill="1" applyBorder="1" applyAlignment="1">
      <alignment horizontal="center" vertical="center"/>
    </xf>
    <xf numFmtId="190" fontId="2" fillId="0" borderId="33" xfId="3" applyNumberFormat="1" applyFont="1" applyFill="1" applyBorder="1" applyAlignment="1">
      <alignment horizontal="center" vertical="center"/>
    </xf>
    <xf numFmtId="190" fontId="2" fillId="0" borderId="0" xfId="3" applyNumberFormat="1" applyFont="1" applyFill="1" applyBorder="1" applyAlignment="1">
      <alignment vertical="center"/>
    </xf>
    <xf numFmtId="190" fontId="3" fillId="3" borderId="13" xfId="3" applyNumberFormat="1" applyFont="1" applyFill="1" applyBorder="1" applyAlignment="1">
      <alignment horizontal="center" vertical="center"/>
    </xf>
    <xf numFmtId="190" fontId="3" fillId="4" borderId="14" xfId="3" applyNumberFormat="1" applyFont="1" applyFill="1" applyBorder="1" applyAlignment="1">
      <alignment horizontal="center" vertical="center"/>
    </xf>
    <xf numFmtId="190" fontId="3" fillId="0" borderId="11" xfId="3" applyNumberFormat="1" applyFont="1" applyFill="1" applyBorder="1" applyAlignment="1">
      <alignment horizontal="center" vertical="center"/>
    </xf>
    <xf numFmtId="190" fontId="3" fillId="2" borderId="32" xfId="3" applyNumberFormat="1" applyFont="1" applyFill="1" applyBorder="1" applyAlignment="1">
      <alignment horizontal="center" vertical="center"/>
    </xf>
    <xf numFmtId="190" fontId="3" fillId="2" borderId="17" xfId="3" applyNumberFormat="1" applyFont="1" applyFill="1" applyBorder="1" applyAlignment="1">
      <alignment horizontal="center" vertical="center"/>
    </xf>
    <xf numFmtId="190" fontId="2" fillId="2" borderId="1" xfId="3" applyNumberFormat="1" applyFont="1" applyFill="1" applyBorder="1" applyAlignment="1">
      <alignment horizontal="center" vertical="center"/>
    </xf>
    <xf numFmtId="190" fontId="2" fillId="2" borderId="32" xfId="3" applyNumberFormat="1" applyFont="1" applyFill="1" applyBorder="1" applyAlignment="1">
      <alignment horizontal="center" vertical="center"/>
    </xf>
    <xf numFmtId="190" fontId="3" fillId="12" borderId="2" xfId="3" applyNumberFormat="1" applyFont="1" applyFill="1" applyBorder="1" applyAlignment="1">
      <alignment horizontal="center" vertical="center"/>
    </xf>
    <xf numFmtId="190" fontId="3" fillId="12" borderId="1" xfId="3" applyNumberFormat="1" applyFont="1" applyFill="1" applyBorder="1" applyAlignment="1">
      <alignment horizontal="center" vertical="center"/>
    </xf>
    <xf numFmtId="190" fontId="3" fillId="12" borderId="3" xfId="3" applyNumberFormat="1" applyFont="1" applyFill="1" applyBorder="1" applyAlignment="1">
      <alignment horizontal="center" vertical="center"/>
    </xf>
    <xf numFmtId="190" fontId="3" fillId="12" borderId="16" xfId="3" applyNumberFormat="1" applyFont="1" applyFill="1" applyBorder="1" applyAlignment="1">
      <alignment horizontal="center" vertical="center"/>
    </xf>
    <xf numFmtId="190" fontId="3" fillId="4" borderId="34" xfId="3" applyNumberFormat="1" applyFont="1" applyFill="1" applyBorder="1" applyAlignment="1">
      <alignment horizontal="center" vertical="center"/>
    </xf>
    <xf numFmtId="190" fontId="2" fillId="0" borderId="35" xfId="3" applyNumberFormat="1" applyFont="1" applyFill="1" applyBorder="1" applyAlignment="1">
      <alignment horizontal="center" vertical="center"/>
    </xf>
    <xf numFmtId="190" fontId="3" fillId="5" borderId="36" xfId="3" applyNumberFormat="1" applyFont="1" applyFill="1" applyBorder="1" applyAlignment="1">
      <alignment horizontal="center" vertical="center"/>
    </xf>
    <xf numFmtId="190" fontId="3" fillId="0" borderId="3" xfId="3" applyNumberFormat="1" applyFont="1" applyFill="1" applyBorder="1" applyAlignment="1">
      <alignment horizontal="center" vertical="center"/>
    </xf>
    <xf numFmtId="190" fontId="3" fillId="5" borderId="37" xfId="3" applyNumberFormat="1" applyFont="1" applyFill="1" applyBorder="1" applyAlignment="1">
      <alignment horizontal="center" vertical="center"/>
    </xf>
    <xf numFmtId="190" fontId="3" fillId="3" borderId="9" xfId="3" applyNumberFormat="1" applyFont="1" applyFill="1" applyBorder="1" applyAlignment="1">
      <alignment horizontal="center" vertical="center"/>
    </xf>
    <xf numFmtId="190" fontId="3" fillId="3" borderId="29" xfId="3" applyNumberFormat="1" applyFont="1" applyFill="1" applyBorder="1" applyAlignment="1">
      <alignment horizontal="center" vertical="center"/>
    </xf>
    <xf numFmtId="190" fontId="3" fillId="6" borderId="8" xfId="3" applyNumberFormat="1" applyFont="1" applyFill="1" applyBorder="1" applyAlignment="1">
      <alignment horizontal="center" vertical="center"/>
    </xf>
    <xf numFmtId="190" fontId="3" fillId="6" borderId="9" xfId="3" applyNumberFormat="1" applyFont="1" applyFill="1" applyBorder="1" applyAlignment="1">
      <alignment horizontal="center" vertical="center"/>
    </xf>
    <xf numFmtId="190" fontId="3" fillId="6" borderId="29" xfId="3" applyNumberFormat="1" applyFont="1" applyFill="1" applyBorder="1" applyAlignment="1">
      <alignment horizontal="center" vertical="center"/>
    </xf>
    <xf numFmtId="190" fontId="3" fillId="0" borderId="0" xfId="3" applyNumberFormat="1" applyFont="1" applyFill="1" applyBorder="1" applyAlignment="1">
      <alignment horizontal="center" vertical="center"/>
    </xf>
    <xf numFmtId="190" fontId="2" fillId="0" borderId="0" xfId="3" applyNumberFormat="1" applyFont="1" applyFill="1" applyBorder="1" applyAlignment="1">
      <alignment horizontal="center" vertical="center"/>
    </xf>
    <xf numFmtId="190" fontId="2" fillId="0" borderId="0" xfId="3" applyNumberFormat="1" applyFont="1" applyFill="1" applyBorder="1" applyAlignment="1">
      <alignment horizontal="center" vertical="center" wrapText="1"/>
    </xf>
    <xf numFmtId="190" fontId="2" fillId="0" borderId="0" xfId="3" applyNumberFormat="1" applyFont="1" applyFill="1" applyAlignment="1">
      <alignment horizontal="center" vertical="center"/>
    </xf>
    <xf numFmtId="190" fontId="2" fillId="7" borderId="10" xfId="3" applyNumberFormat="1" applyFont="1" applyFill="1" applyBorder="1" applyAlignment="1">
      <alignment horizontal="center" vertical="center" wrapText="1"/>
    </xf>
    <xf numFmtId="190" fontId="2" fillId="7" borderId="2" xfId="3" applyNumberFormat="1" applyFont="1" applyFill="1" applyBorder="1" applyAlignment="1">
      <alignment horizontal="center" vertical="center" wrapText="1"/>
    </xf>
    <xf numFmtId="190" fontId="2" fillId="7" borderId="1" xfId="3" applyNumberFormat="1" applyFont="1" applyFill="1" applyBorder="1" applyAlignment="1">
      <alignment horizontal="center" vertical="center" wrapText="1"/>
    </xf>
    <xf numFmtId="190" fontId="2" fillId="7" borderId="17" xfId="3" applyNumberFormat="1" applyFont="1" applyFill="1" applyBorder="1" applyAlignment="1">
      <alignment horizontal="center" vertical="center" wrapText="1"/>
    </xf>
    <xf numFmtId="190" fontId="3" fillId="6" borderId="4" xfId="3" applyNumberFormat="1" applyFont="1" applyFill="1" applyBorder="1" applyAlignment="1" applyProtection="1">
      <alignment horizontal="center" vertical="center" wrapText="1"/>
    </xf>
    <xf numFmtId="190" fontId="22" fillId="0" borderId="0" xfId="3" applyNumberFormat="1" applyFont="1" applyAlignment="1">
      <alignment horizontal="center" vertical="center"/>
    </xf>
    <xf numFmtId="190" fontId="23" fillId="0" borderId="0" xfId="3" applyNumberFormat="1" applyFont="1" applyAlignment="1">
      <alignment horizontal="center" vertical="center"/>
    </xf>
    <xf numFmtId="191" fontId="2" fillId="0" borderId="0" xfId="3" applyNumberFormat="1" applyFont="1" applyAlignment="1">
      <alignment horizontal="center" vertical="center"/>
    </xf>
    <xf numFmtId="190" fontId="21" fillId="2" borderId="3" xfId="3" applyNumberFormat="1" applyFont="1" applyFill="1" applyBorder="1" applyAlignment="1">
      <alignment horizontal="center" vertical="center"/>
    </xf>
    <xf numFmtId="190" fontId="21" fillId="2" borderId="17" xfId="3" applyNumberFormat="1" applyFont="1" applyFill="1" applyBorder="1" applyAlignment="1">
      <alignment horizontal="center" vertical="center"/>
    </xf>
    <xf numFmtId="190" fontId="2" fillId="0" borderId="38" xfId="3" applyNumberFormat="1" applyFont="1" applyFill="1" applyBorder="1" applyAlignment="1">
      <alignment horizontal="center" vertical="center"/>
    </xf>
    <xf numFmtId="190" fontId="2" fillId="0" borderId="39" xfId="3" applyNumberFormat="1" applyFont="1" applyFill="1" applyBorder="1" applyAlignment="1">
      <alignment horizontal="center" vertical="center"/>
    </xf>
    <xf numFmtId="190" fontId="3" fillId="0" borderId="38" xfId="3" applyNumberFormat="1" applyFont="1" applyFill="1" applyBorder="1" applyAlignment="1">
      <alignment horizontal="center" vertical="center"/>
    </xf>
    <xf numFmtId="190" fontId="2" fillId="0" borderId="1" xfId="3" applyNumberFormat="1" applyFont="1" applyFill="1" applyBorder="1" applyAlignment="1">
      <alignment horizontal="center" vertical="center" wrapText="1"/>
    </xf>
    <xf numFmtId="190" fontId="3" fillId="0" borderId="23" xfId="3" applyNumberFormat="1" applyFont="1" applyFill="1" applyBorder="1" applyAlignment="1">
      <alignment horizontal="center" vertical="center"/>
    </xf>
    <xf numFmtId="190" fontId="24" fillId="0" borderId="1" xfId="3" applyNumberFormat="1" applyFont="1" applyFill="1" applyBorder="1" applyAlignment="1">
      <alignment horizontal="left" vertical="center" wrapText="1"/>
    </xf>
    <xf numFmtId="190" fontId="2" fillId="0" borderId="40" xfId="3" applyNumberFormat="1" applyFont="1" applyFill="1" applyBorder="1" applyAlignment="1">
      <alignment horizontal="center" vertical="center"/>
    </xf>
    <xf numFmtId="190" fontId="2" fillId="0" borderId="41" xfId="3" applyNumberFormat="1" applyFont="1" applyFill="1" applyBorder="1" applyAlignment="1">
      <alignment horizontal="center" vertical="center"/>
    </xf>
    <xf numFmtId="190" fontId="21" fillId="0" borderId="32" xfId="3" applyNumberFormat="1" applyFont="1" applyFill="1" applyBorder="1" applyAlignment="1">
      <alignment horizontal="center" vertical="center"/>
    </xf>
    <xf numFmtId="190" fontId="3" fillId="0" borderId="25" xfId="3" applyNumberFormat="1" applyFont="1" applyFill="1" applyBorder="1" applyAlignment="1">
      <alignment horizontal="center" vertical="center"/>
    </xf>
    <xf numFmtId="190" fontId="3" fillId="2" borderId="33" xfId="3" applyNumberFormat="1" applyFont="1" applyFill="1" applyBorder="1" applyAlignment="1">
      <alignment horizontal="center" vertical="center"/>
    </xf>
    <xf numFmtId="190" fontId="2" fillId="11" borderId="3" xfId="3" applyNumberFormat="1" applyFont="1" applyFill="1" applyBorder="1" applyAlignment="1">
      <alignment horizontal="center" vertical="center"/>
    </xf>
    <xf numFmtId="190" fontId="3" fillId="3" borderId="20" xfId="3" applyNumberFormat="1" applyFont="1" applyFill="1" applyBorder="1" applyAlignment="1">
      <alignment vertical="center"/>
    </xf>
    <xf numFmtId="190" fontId="3" fillId="4" borderId="20" xfId="3" applyNumberFormat="1" applyFont="1" applyFill="1" applyBorder="1" applyAlignment="1">
      <alignment vertical="center"/>
    </xf>
    <xf numFmtId="190" fontId="3" fillId="11" borderId="20" xfId="3" applyNumberFormat="1" applyFont="1" applyFill="1" applyBorder="1" applyAlignment="1">
      <alignment vertical="center"/>
    </xf>
    <xf numFmtId="190" fontId="3" fillId="3" borderId="22" xfId="3" applyNumberFormat="1" applyFont="1" applyFill="1" applyBorder="1" applyAlignment="1">
      <alignment vertical="center"/>
    </xf>
    <xf numFmtId="190" fontId="3" fillId="4" borderId="22" xfId="3" applyNumberFormat="1" applyFont="1" applyFill="1" applyBorder="1" applyAlignment="1">
      <alignment vertical="center"/>
    </xf>
    <xf numFmtId="190" fontId="3" fillId="11" borderId="22" xfId="3" applyNumberFormat="1" applyFont="1" applyFill="1" applyBorder="1" applyAlignment="1">
      <alignment vertical="center"/>
    </xf>
    <xf numFmtId="190" fontId="3" fillId="3" borderId="38" xfId="3" applyNumberFormat="1" applyFont="1" applyFill="1" applyBorder="1" applyAlignment="1">
      <alignment vertical="center"/>
    </xf>
    <xf numFmtId="190" fontId="3" fillId="4" borderId="38" xfId="3" applyNumberFormat="1" applyFont="1" applyFill="1" applyBorder="1" applyAlignment="1">
      <alignment vertical="center"/>
    </xf>
    <xf numFmtId="190" fontId="3" fillId="11" borderId="38" xfId="3" applyNumberFormat="1" applyFont="1" applyFill="1" applyBorder="1" applyAlignment="1">
      <alignment vertical="center"/>
    </xf>
    <xf numFmtId="173" fontId="14" fillId="0" borderId="1" xfId="0" applyNumberFormat="1" applyFont="1" applyBorder="1" applyAlignment="1">
      <alignment horizontal="left" vertical="center" wrapText="1"/>
    </xf>
    <xf numFmtId="173" fontId="14" fillId="0" borderId="16" xfId="0" applyNumberFormat="1" applyFont="1" applyFill="1" applyBorder="1" applyAlignment="1">
      <alignment vertical="center" wrapText="1"/>
    </xf>
    <xf numFmtId="171" fontId="14" fillId="0" borderId="1" xfId="3" applyFont="1" applyFill="1" applyBorder="1" applyAlignment="1">
      <alignment horizontal="center" vertical="center" wrapText="1"/>
    </xf>
    <xf numFmtId="171" fontId="14" fillId="0" borderId="1" xfId="3" applyFont="1" applyBorder="1" applyAlignment="1">
      <alignment horizontal="center" vertical="center" wrapText="1"/>
    </xf>
    <xf numFmtId="190" fontId="2" fillId="7" borderId="18" xfId="3" applyNumberFormat="1" applyFont="1" applyFill="1" applyBorder="1" applyAlignment="1">
      <alignment horizontal="center" vertical="center" wrapText="1"/>
    </xf>
    <xf numFmtId="190" fontId="3" fillId="0" borderId="21" xfId="3" applyNumberFormat="1" applyFont="1" applyFill="1" applyBorder="1" applyAlignment="1">
      <alignment horizontal="center" vertical="center"/>
    </xf>
    <xf numFmtId="190" fontId="2" fillId="0" borderId="1" xfId="3" quotePrefix="1" applyNumberFormat="1" applyFont="1" applyFill="1" applyBorder="1" applyAlignment="1">
      <alignment horizontal="center" vertical="center"/>
    </xf>
    <xf numFmtId="190" fontId="2" fillId="0" borderId="25" xfId="3" applyNumberFormat="1" applyFont="1" applyFill="1" applyBorder="1" applyAlignment="1">
      <alignment horizontal="center" vertical="center" wrapText="1"/>
    </xf>
    <xf numFmtId="190" fontId="2" fillId="0" borderId="35" xfId="3" applyNumberFormat="1" applyFont="1" applyFill="1" applyBorder="1" applyAlignment="1">
      <alignment horizontal="center" vertical="center" wrapText="1"/>
    </xf>
    <xf numFmtId="190" fontId="2" fillId="0" borderId="25" xfId="3" applyNumberFormat="1" applyFont="1" applyFill="1" applyBorder="1" applyAlignment="1">
      <alignment horizontal="center" vertical="center"/>
    </xf>
    <xf numFmtId="190" fontId="2" fillId="0" borderId="12" xfId="3" applyNumberFormat="1" applyFont="1" applyFill="1" applyBorder="1" applyAlignment="1">
      <alignment horizontal="center" vertical="center" wrapText="1"/>
    </xf>
    <xf numFmtId="190" fontId="2" fillId="0" borderId="17" xfId="3" applyNumberFormat="1" applyFont="1" applyFill="1" applyBorder="1" applyAlignment="1">
      <alignment horizontal="center" vertical="center" wrapText="1"/>
    </xf>
    <xf numFmtId="190" fontId="3" fillId="5" borderId="17" xfId="3" applyNumberFormat="1" applyFont="1" applyFill="1" applyBorder="1" applyAlignment="1">
      <alignment horizontal="center" vertical="center" wrapText="1"/>
    </xf>
    <xf numFmtId="190" fontId="3" fillId="12" borderId="17" xfId="3" applyNumberFormat="1" applyFont="1" applyFill="1" applyBorder="1" applyAlignment="1">
      <alignment horizontal="center" vertical="center" wrapText="1"/>
    </xf>
    <xf numFmtId="190" fontId="3" fillId="5" borderId="27" xfId="3" applyNumberFormat="1" applyFont="1" applyFill="1" applyBorder="1" applyAlignment="1">
      <alignment horizontal="center" vertical="center" wrapText="1"/>
    </xf>
    <xf numFmtId="190" fontId="3" fillId="5" borderId="25" xfId="3" applyNumberFormat="1" applyFont="1" applyFill="1" applyBorder="1" applyAlignment="1">
      <alignment horizontal="center" vertical="center" wrapText="1"/>
    </xf>
    <xf numFmtId="190" fontId="2" fillId="11" borderId="25" xfId="3" applyNumberFormat="1" applyFont="1" applyFill="1" applyBorder="1" applyAlignment="1">
      <alignment horizontal="center" vertical="center" wrapText="1"/>
    </xf>
    <xf numFmtId="190" fontId="3" fillId="0" borderId="2" xfId="3" applyNumberFormat="1" applyFont="1" applyFill="1" applyBorder="1" applyAlignment="1">
      <alignment horizontal="center" vertical="center"/>
    </xf>
    <xf numFmtId="190" fontId="21" fillId="0" borderId="17" xfId="3" applyNumberFormat="1" applyFont="1" applyFill="1" applyBorder="1" applyAlignment="1">
      <alignment horizontal="center" vertical="center"/>
    </xf>
    <xf numFmtId="190" fontId="2" fillId="11" borderId="25" xfId="3" applyNumberFormat="1" applyFont="1" applyFill="1" applyBorder="1" applyAlignment="1">
      <alignment horizontal="center" vertical="center"/>
    </xf>
    <xf numFmtId="190" fontId="24" fillId="0" borderId="1" xfId="3" applyNumberFormat="1" applyFont="1" applyFill="1" applyBorder="1" applyAlignment="1">
      <alignment horizontal="center" vertical="center"/>
    </xf>
    <xf numFmtId="190" fontId="24" fillId="0" borderId="1" xfId="3" quotePrefix="1" applyNumberFormat="1" applyFont="1" applyFill="1" applyBorder="1" applyAlignment="1">
      <alignment horizontal="center" vertical="center"/>
    </xf>
    <xf numFmtId="190" fontId="24" fillId="0" borderId="1" xfId="3" applyNumberFormat="1" applyFont="1" applyBorder="1" applyAlignment="1">
      <alignment horizontal="center" vertical="center" wrapText="1"/>
    </xf>
    <xf numFmtId="190" fontId="25" fillId="0" borderId="2" xfId="3" applyNumberFormat="1" applyFont="1" applyFill="1" applyBorder="1" applyAlignment="1">
      <alignment horizontal="center" vertical="center"/>
    </xf>
    <xf numFmtId="190" fontId="25" fillId="0" borderId="1" xfId="3" applyNumberFormat="1" applyFont="1" applyFill="1" applyBorder="1" applyAlignment="1">
      <alignment horizontal="center" vertical="center"/>
    </xf>
    <xf numFmtId="190" fontId="25" fillId="0" borderId="3" xfId="3" applyNumberFormat="1" applyFont="1" applyFill="1" applyBorder="1" applyAlignment="1">
      <alignment horizontal="center" vertical="center"/>
    </xf>
    <xf numFmtId="190" fontId="24" fillId="0" borderId="1" xfId="3" applyNumberFormat="1" applyFont="1" applyFill="1" applyBorder="1" applyAlignment="1">
      <alignment horizontal="center" vertical="center" wrapText="1"/>
    </xf>
    <xf numFmtId="190" fontId="21" fillId="0" borderId="0" xfId="3" applyNumberFormat="1" applyFont="1" applyAlignment="1">
      <alignment horizontal="center" vertical="center"/>
    </xf>
    <xf numFmtId="190" fontId="24" fillId="0" borderId="2" xfId="3" applyNumberFormat="1" applyFont="1" applyFill="1" applyBorder="1" applyAlignment="1">
      <alignment horizontal="center" vertical="center"/>
    </xf>
    <xf numFmtId="190" fontId="24" fillId="0" borderId="20" xfId="3" quotePrefix="1" applyNumberFormat="1" applyFont="1" applyFill="1" applyBorder="1" applyAlignment="1">
      <alignment horizontal="center" vertical="center"/>
    </xf>
    <xf numFmtId="190" fontId="24" fillId="0" borderId="22" xfId="3" applyNumberFormat="1" applyFont="1" applyFill="1" applyBorder="1" applyAlignment="1">
      <alignment horizontal="center" vertical="center" wrapText="1"/>
    </xf>
    <xf numFmtId="190" fontId="24" fillId="0" borderId="42" xfId="3" applyNumberFormat="1" applyFont="1" applyFill="1" applyBorder="1" applyAlignment="1">
      <alignment horizontal="center" vertical="center"/>
    </xf>
    <xf numFmtId="190" fontId="24" fillId="0" borderId="17" xfId="3" applyNumberFormat="1" applyFont="1" applyFill="1" applyBorder="1" applyAlignment="1">
      <alignment horizontal="center" vertical="center" wrapText="1"/>
    </xf>
    <xf numFmtId="190" fontId="24" fillId="0" borderId="3" xfId="3" applyNumberFormat="1" applyFont="1" applyFill="1" applyBorder="1" applyAlignment="1">
      <alignment horizontal="center" vertical="center"/>
    </xf>
    <xf numFmtId="190" fontId="25" fillId="0" borderId="32" xfId="3" applyNumberFormat="1" applyFont="1" applyFill="1" applyBorder="1" applyAlignment="1">
      <alignment horizontal="center" vertical="center"/>
    </xf>
    <xf numFmtId="190" fontId="25" fillId="0" borderId="20" xfId="3" applyNumberFormat="1" applyFont="1" applyFill="1" applyBorder="1" applyAlignment="1">
      <alignment horizontal="center" vertical="center"/>
    </xf>
    <xf numFmtId="190" fontId="25" fillId="0" borderId="21" xfId="3" applyNumberFormat="1" applyFont="1" applyFill="1" applyBorder="1" applyAlignment="1">
      <alignment horizontal="center" vertical="center"/>
    </xf>
    <xf numFmtId="190" fontId="3" fillId="0" borderId="41" xfId="3" applyNumberFormat="1" applyFont="1" applyFill="1" applyBorder="1" applyAlignment="1">
      <alignment horizontal="center" vertical="center"/>
    </xf>
    <xf numFmtId="190" fontId="24" fillId="0" borderId="16" xfId="3" applyNumberFormat="1" applyFont="1" applyFill="1" applyBorder="1" applyAlignment="1">
      <alignment horizontal="center" vertical="center"/>
    </xf>
    <xf numFmtId="190" fontId="24" fillId="0" borderId="23" xfId="3" applyNumberFormat="1" applyFont="1" applyFill="1" applyBorder="1" applyAlignment="1">
      <alignment horizontal="center" vertical="center"/>
    </xf>
    <xf numFmtId="190" fontId="3" fillId="5" borderId="43" xfId="3" applyNumberFormat="1" applyFont="1" applyFill="1" applyBorder="1" applyAlignment="1">
      <alignment horizontal="center" vertical="center"/>
    </xf>
    <xf numFmtId="190" fontId="3" fillId="0" borderId="43" xfId="3" applyNumberFormat="1" applyFont="1" applyFill="1" applyBorder="1" applyAlignment="1">
      <alignment horizontal="center" vertical="center"/>
    </xf>
    <xf numFmtId="190" fontId="24" fillId="11" borderId="1" xfId="3" quotePrefix="1" applyNumberFormat="1" applyFont="1" applyFill="1" applyBorder="1" applyAlignment="1">
      <alignment horizontal="center" vertical="center"/>
    </xf>
    <xf numFmtId="173" fontId="26" fillId="0" borderId="0" xfId="0" applyNumberFormat="1" applyFont="1" applyAlignment="1">
      <alignment horizontal="center" vertical="center" wrapText="1"/>
    </xf>
    <xf numFmtId="190" fontId="2" fillId="0" borderId="44" xfId="3" applyNumberFormat="1" applyFont="1" applyFill="1" applyBorder="1" applyAlignment="1">
      <alignment horizontal="center" vertical="center"/>
    </xf>
    <xf numFmtId="190" fontId="3" fillId="4" borderId="45" xfId="3" applyNumberFormat="1" applyFont="1" applyFill="1" applyBorder="1" applyAlignment="1">
      <alignment horizontal="center" vertical="center"/>
    </xf>
    <xf numFmtId="190" fontId="3" fillId="11" borderId="1" xfId="3" applyNumberFormat="1" applyFont="1" applyFill="1" applyBorder="1" applyAlignment="1">
      <alignment horizontal="center" vertical="center"/>
    </xf>
    <xf numFmtId="190" fontId="2" fillId="11" borderId="3" xfId="3" applyNumberFormat="1" applyFont="1" applyFill="1" applyBorder="1" applyAlignment="1">
      <alignment horizontal="center" vertical="center"/>
    </xf>
    <xf numFmtId="190" fontId="21" fillId="0" borderId="1" xfId="3" applyNumberFormat="1" applyFont="1" applyFill="1" applyBorder="1" applyAlignment="1">
      <alignment horizontal="center" vertical="center"/>
    </xf>
    <xf numFmtId="190" fontId="11" fillId="13" borderId="26" xfId="3" applyNumberFormat="1" applyFont="1" applyFill="1" applyBorder="1" applyAlignment="1">
      <alignment horizontal="center" vertical="center" wrapText="1"/>
    </xf>
    <xf numFmtId="171" fontId="2" fillId="0" borderId="0" xfId="3" applyNumberFormat="1" applyFont="1" applyAlignment="1">
      <alignment horizontal="center" vertical="center"/>
    </xf>
    <xf numFmtId="190" fontId="11" fillId="0" borderId="38" xfId="3" applyNumberFormat="1" applyFont="1" applyBorder="1" applyAlignment="1">
      <alignment horizontal="center" vertical="center" wrapText="1"/>
    </xf>
    <xf numFmtId="190" fontId="12" fillId="0" borderId="1" xfId="3" applyNumberFormat="1" applyFont="1" applyBorder="1" applyAlignment="1">
      <alignment horizontal="center" vertical="center" wrapText="1"/>
    </xf>
    <xf numFmtId="190" fontId="11" fillId="0" borderId="20" xfId="3" applyNumberFormat="1" applyFont="1" applyBorder="1" applyAlignment="1">
      <alignment horizontal="center" vertical="center" wrapText="1"/>
    </xf>
    <xf numFmtId="190" fontId="12" fillId="0" borderId="3" xfId="3" applyNumberFormat="1" applyFont="1" applyBorder="1" applyAlignment="1">
      <alignment horizontal="center" vertical="center" wrapText="1"/>
    </xf>
    <xf numFmtId="190" fontId="12" fillId="0" borderId="0" xfId="3" applyNumberFormat="1" applyFont="1"/>
    <xf numFmtId="190" fontId="17" fillId="0" borderId="0" xfId="3" applyNumberFormat="1" applyFont="1" applyAlignment="1">
      <alignment vertical="center" wrapText="1"/>
    </xf>
    <xf numFmtId="190" fontId="11" fillId="0" borderId="5" xfId="3" applyNumberFormat="1" applyFont="1" applyBorder="1" applyAlignment="1">
      <alignment horizontal="center" vertical="center" wrapText="1"/>
    </xf>
    <xf numFmtId="190" fontId="11" fillId="13" borderId="31" xfId="3" applyNumberFormat="1" applyFont="1" applyFill="1" applyBorder="1" applyAlignment="1">
      <alignment vertical="center" wrapText="1"/>
    </xf>
    <xf numFmtId="190" fontId="11" fillId="13" borderId="46" xfId="3" applyNumberFormat="1" applyFont="1" applyFill="1" applyBorder="1" applyAlignment="1">
      <alignment vertical="center" wrapText="1"/>
    </xf>
    <xf numFmtId="190" fontId="11" fillId="13" borderId="34" xfId="3" applyNumberFormat="1" applyFont="1" applyFill="1" applyBorder="1" applyAlignment="1">
      <alignment horizontal="center" vertical="center" wrapText="1"/>
    </xf>
    <xf numFmtId="190" fontId="11" fillId="0" borderId="39" xfId="3" applyNumberFormat="1" applyFont="1" applyBorder="1" applyAlignment="1">
      <alignment vertical="center" wrapText="1"/>
    </xf>
    <xf numFmtId="190" fontId="11" fillId="0" borderId="47" xfId="3" applyNumberFormat="1" applyFont="1" applyBorder="1" applyAlignment="1">
      <alignment vertical="center" wrapText="1"/>
    </xf>
    <xf numFmtId="190" fontId="11" fillId="0" borderId="23" xfId="3" applyNumberFormat="1" applyFont="1" applyBorder="1" applyAlignment="1">
      <alignment horizontal="center" vertical="center" wrapText="1"/>
    </xf>
    <xf numFmtId="190" fontId="12" fillId="0" borderId="2" xfId="3" applyNumberFormat="1" applyFont="1" applyBorder="1" applyAlignment="1">
      <alignment vertical="center" wrapText="1"/>
    </xf>
    <xf numFmtId="190" fontId="12" fillId="0" borderId="16" xfId="3" applyNumberFormat="1" applyFont="1" applyBorder="1" applyAlignment="1">
      <alignment vertical="center" wrapText="1"/>
    </xf>
    <xf numFmtId="190" fontId="11" fillId="0" borderId="19" xfId="3" applyNumberFormat="1" applyFont="1" applyBorder="1" applyAlignment="1">
      <alignment vertical="center" wrapText="1"/>
    </xf>
    <xf numFmtId="190" fontId="11" fillId="0" borderId="24" xfId="3" applyNumberFormat="1" applyFont="1" applyBorder="1" applyAlignment="1">
      <alignment vertical="center" wrapText="1"/>
    </xf>
    <xf numFmtId="190" fontId="11" fillId="0" borderId="21" xfId="3" applyNumberFormat="1" applyFont="1" applyBorder="1" applyAlignment="1">
      <alignment horizontal="center" vertical="center" wrapText="1"/>
    </xf>
    <xf numFmtId="190" fontId="11" fillId="14" borderId="10" xfId="3" applyNumberFormat="1" applyFont="1" applyFill="1" applyBorder="1" applyAlignment="1">
      <alignment vertical="center" wrapText="1"/>
    </xf>
    <xf numFmtId="190" fontId="11" fillId="14" borderId="48" xfId="3" applyNumberFormat="1" applyFont="1" applyFill="1" applyBorder="1" applyAlignment="1">
      <alignment vertical="center" wrapText="1"/>
    </xf>
    <xf numFmtId="190" fontId="11" fillId="14" borderId="11" xfId="3" applyNumberFormat="1" applyFont="1" applyFill="1" applyBorder="1" applyAlignment="1">
      <alignment horizontal="center" vertical="center" wrapText="1"/>
    </xf>
    <xf numFmtId="190" fontId="11" fillId="14" borderId="7" xfId="3" applyNumberFormat="1" applyFont="1" applyFill="1" applyBorder="1" applyAlignment="1">
      <alignment horizontal="center" vertical="center" wrapText="1"/>
    </xf>
    <xf numFmtId="190" fontId="27" fillId="0" borderId="2" xfId="3" applyNumberFormat="1" applyFont="1" applyBorder="1" applyAlignment="1">
      <alignment vertical="center" wrapText="1"/>
    </xf>
    <xf numFmtId="190" fontId="27" fillId="0" borderId="16" xfId="3" applyNumberFormat="1" applyFont="1" applyBorder="1" applyAlignment="1">
      <alignment vertical="center" wrapText="1"/>
    </xf>
    <xf numFmtId="190" fontId="11" fillId="14" borderId="2" xfId="3" applyNumberFormat="1" applyFont="1" applyFill="1" applyBorder="1" applyAlignment="1">
      <alignment vertical="center" wrapText="1"/>
    </xf>
    <xf numFmtId="190" fontId="11" fillId="14" borderId="16" xfId="3" applyNumberFormat="1" applyFont="1" applyFill="1" applyBorder="1" applyAlignment="1">
      <alignment vertical="center" wrapText="1"/>
    </xf>
    <xf numFmtId="190" fontId="11" fillId="14" borderId="1" xfId="3" applyNumberFormat="1" applyFont="1" applyFill="1" applyBorder="1" applyAlignment="1">
      <alignment horizontal="center" vertical="center" wrapText="1"/>
    </xf>
    <xf numFmtId="190" fontId="11" fillId="14" borderId="3" xfId="3" applyNumberFormat="1" applyFont="1" applyFill="1" applyBorder="1" applyAlignment="1">
      <alignment horizontal="center" vertical="center" wrapText="1"/>
    </xf>
    <xf numFmtId="190" fontId="12" fillId="0" borderId="4" xfId="3" applyNumberFormat="1" applyFont="1" applyBorder="1" applyAlignment="1">
      <alignment vertical="center"/>
    </xf>
    <xf numFmtId="190" fontId="12" fillId="0" borderId="37" xfId="3" applyNumberFormat="1" applyFont="1" applyBorder="1" applyAlignment="1">
      <alignment vertical="center"/>
    </xf>
    <xf numFmtId="190" fontId="12" fillId="0" borderId="5" xfId="3" applyNumberFormat="1" applyFont="1" applyBorder="1" applyAlignment="1">
      <alignment horizontal="center" vertical="center" wrapText="1"/>
    </xf>
    <xf numFmtId="190" fontId="12" fillId="0" borderId="6" xfId="3" applyNumberFormat="1" applyFont="1" applyBorder="1" applyAlignment="1">
      <alignment horizontal="center" vertical="center" wrapText="1"/>
    </xf>
    <xf numFmtId="190" fontId="11" fillId="13" borderId="8" xfId="3" applyNumberFormat="1" applyFont="1" applyFill="1" applyBorder="1" applyAlignment="1">
      <alignment vertical="center" wrapText="1"/>
    </xf>
    <xf numFmtId="190" fontId="11" fillId="13" borderId="30" xfId="3" applyNumberFormat="1" applyFont="1" applyFill="1" applyBorder="1" applyAlignment="1">
      <alignment vertical="center" wrapText="1"/>
    </xf>
    <xf numFmtId="190" fontId="11" fillId="13" borderId="9" xfId="3" applyNumberFormat="1" applyFont="1" applyFill="1" applyBorder="1" applyAlignment="1">
      <alignment horizontal="center" vertical="center" wrapText="1"/>
    </xf>
    <xf numFmtId="190" fontId="11" fillId="13" borderId="29" xfId="3" applyNumberFormat="1" applyFont="1" applyFill="1" applyBorder="1" applyAlignment="1">
      <alignment horizontal="center" vertical="center" wrapText="1"/>
    </xf>
    <xf numFmtId="190" fontId="25" fillId="0" borderId="0" xfId="3" applyNumberFormat="1" applyFont="1" applyFill="1" applyBorder="1" applyAlignment="1">
      <alignment horizontal="center" vertical="center"/>
    </xf>
    <xf numFmtId="190" fontId="25" fillId="0" borderId="0" xfId="3" applyNumberFormat="1" applyFont="1" applyFill="1" applyAlignment="1">
      <alignment horizontal="center" vertical="center"/>
    </xf>
    <xf numFmtId="190" fontId="24" fillId="0" borderId="17" xfId="3" applyNumberFormat="1" applyFont="1" applyFill="1" applyBorder="1" applyAlignment="1">
      <alignment horizontal="center" vertical="center"/>
    </xf>
    <xf numFmtId="190" fontId="24" fillId="0" borderId="19" xfId="3" applyNumberFormat="1" applyFont="1" applyFill="1" applyBorder="1" applyAlignment="1">
      <alignment horizontal="center" vertical="center"/>
    </xf>
    <xf numFmtId="190" fontId="24" fillId="0" borderId="20" xfId="3" applyNumberFormat="1" applyFont="1" applyFill="1" applyBorder="1" applyAlignment="1">
      <alignment horizontal="center" vertical="center"/>
    </xf>
    <xf numFmtId="190" fontId="24" fillId="0" borderId="21" xfId="3" applyNumberFormat="1" applyFont="1" applyFill="1" applyBorder="1" applyAlignment="1">
      <alignment horizontal="center" vertical="center"/>
    </xf>
    <xf numFmtId="173" fontId="14" fillId="0" borderId="1" xfId="0" applyNumberFormat="1" applyFont="1" applyFill="1" applyBorder="1" applyAlignment="1">
      <alignment horizontal="left" vertical="center" wrapText="1"/>
    </xf>
    <xf numFmtId="190" fontId="3" fillId="5" borderId="33" xfId="3" applyNumberFormat="1" applyFont="1" applyFill="1" applyBorder="1" applyAlignment="1">
      <alignment horizontal="center" vertical="center"/>
    </xf>
    <xf numFmtId="190" fontId="27" fillId="0" borderId="18" xfId="3" applyNumberFormat="1" applyFont="1" applyBorder="1" applyAlignment="1">
      <alignment vertical="center" wrapText="1"/>
    </xf>
    <xf numFmtId="190" fontId="24" fillId="0" borderId="36" xfId="3" applyNumberFormat="1" applyFont="1" applyBorder="1" applyAlignment="1">
      <alignment horizontal="center" vertical="center"/>
    </xf>
    <xf numFmtId="190" fontId="25" fillId="0" borderId="2" xfId="3" applyNumberFormat="1" applyFont="1" applyFill="1" applyBorder="1" applyAlignment="1">
      <alignment horizontal="center" vertical="center" wrapText="1"/>
    </xf>
    <xf numFmtId="190" fontId="24" fillId="0" borderId="2" xfId="3" applyNumberFormat="1" applyFont="1" applyFill="1" applyBorder="1" applyAlignment="1">
      <alignment horizontal="center" vertical="center" wrapText="1"/>
    </xf>
    <xf numFmtId="190" fontId="24" fillId="0" borderId="18" xfId="3" applyNumberFormat="1" applyFont="1" applyFill="1" applyBorder="1" applyAlignment="1">
      <alignment horizontal="center" vertical="center"/>
    </xf>
    <xf numFmtId="190" fontId="2" fillId="2" borderId="18" xfId="3" applyNumberFormat="1" applyFont="1" applyFill="1" applyBorder="1" applyAlignment="1">
      <alignment horizontal="center" vertical="center"/>
    </xf>
    <xf numFmtId="190" fontId="25" fillId="0" borderId="17" xfId="3" applyNumberFormat="1" applyFont="1" applyFill="1" applyBorder="1" applyAlignment="1">
      <alignment horizontal="center" vertical="center"/>
    </xf>
    <xf numFmtId="190" fontId="24" fillId="0" borderId="24" xfId="3" applyNumberFormat="1" applyFont="1" applyFill="1" applyBorder="1" applyAlignment="1">
      <alignment horizontal="center" vertical="center"/>
    </xf>
    <xf numFmtId="190" fontId="2" fillId="0" borderId="17" xfId="3" applyNumberFormat="1" applyFont="1" applyFill="1" applyBorder="1" applyAlignment="1">
      <alignment horizontal="left" vertical="center" wrapText="1"/>
    </xf>
    <xf numFmtId="190" fontId="24" fillId="0" borderId="17" xfId="3" applyNumberFormat="1" applyFont="1" applyFill="1" applyBorder="1" applyAlignment="1">
      <alignment horizontal="left" vertical="center" wrapText="1"/>
    </xf>
    <xf numFmtId="190" fontId="3" fillId="4" borderId="28" xfId="3" applyNumberFormat="1" applyFont="1" applyFill="1" applyBorder="1" applyAlignment="1">
      <alignment horizontal="center" vertical="center"/>
    </xf>
    <xf numFmtId="190" fontId="3" fillId="4" borderId="49" xfId="3" applyNumberFormat="1" applyFont="1" applyFill="1" applyBorder="1" applyAlignment="1">
      <alignment horizontal="center" vertical="center"/>
    </xf>
    <xf numFmtId="190" fontId="24" fillId="0" borderId="36" xfId="3" applyNumberFormat="1" applyFont="1" applyFill="1" applyBorder="1" applyAlignment="1">
      <alignment horizontal="center" vertical="center"/>
    </xf>
    <xf numFmtId="190" fontId="24" fillId="0" borderId="25" xfId="3" applyNumberFormat="1" applyFont="1" applyFill="1" applyBorder="1" applyAlignment="1">
      <alignment horizontal="center" vertical="center"/>
    </xf>
    <xf numFmtId="190" fontId="3" fillId="0" borderId="50" xfId="3" applyNumberFormat="1" applyFont="1" applyFill="1" applyBorder="1" applyAlignment="1">
      <alignment horizontal="center" vertical="center"/>
    </xf>
    <xf numFmtId="190" fontId="3" fillId="2" borderId="50" xfId="3" applyNumberFormat="1" applyFont="1" applyFill="1" applyBorder="1" applyAlignment="1">
      <alignment horizontal="center" vertical="center"/>
    </xf>
    <xf numFmtId="190" fontId="21" fillId="2" borderId="18" xfId="3" applyNumberFormat="1" applyFont="1" applyFill="1" applyBorder="1" applyAlignment="1">
      <alignment horizontal="center" vertical="center"/>
    </xf>
    <xf numFmtId="190" fontId="3" fillId="12" borderId="17" xfId="3" applyNumberFormat="1" applyFont="1" applyFill="1" applyBorder="1" applyAlignment="1">
      <alignment horizontal="center" vertical="center"/>
    </xf>
    <xf numFmtId="190" fontId="3" fillId="12" borderId="19" xfId="3" applyNumberFormat="1" applyFont="1" applyFill="1" applyBorder="1" applyAlignment="1">
      <alignment horizontal="center" vertical="center"/>
    </xf>
    <xf numFmtId="190" fontId="3" fillId="12" borderId="20" xfId="3" applyNumberFormat="1" applyFont="1" applyFill="1" applyBorder="1" applyAlignment="1">
      <alignment horizontal="center" vertical="center"/>
    </xf>
    <xf numFmtId="190" fontId="3" fillId="12" borderId="21" xfId="3" applyNumberFormat="1" applyFont="1" applyFill="1" applyBorder="1" applyAlignment="1">
      <alignment horizontal="center" vertical="center"/>
    </xf>
    <xf numFmtId="190" fontId="3" fillId="12" borderId="25" xfId="3" applyNumberFormat="1" applyFont="1" applyFill="1" applyBorder="1" applyAlignment="1">
      <alignment horizontal="center" vertical="center"/>
    </xf>
    <xf numFmtId="190" fontId="3" fillId="12" borderId="24" xfId="3" applyNumberFormat="1" applyFont="1" applyFill="1" applyBorder="1" applyAlignment="1">
      <alignment horizontal="center" vertical="center"/>
    </xf>
    <xf numFmtId="190" fontId="3" fillId="4" borderId="51" xfId="3" applyNumberFormat="1" applyFont="1" applyFill="1" applyBorder="1" applyAlignment="1">
      <alignment horizontal="center" vertical="center"/>
    </xf>
    <xf numFmtId="190" fontId="2" fillId="0" borderId="36" xfId="3" applyNumberFormat="1" applyFont="1" applyFill="1" applyBorder="1" applyAlignment="1">
      <alignment horizontal="center" vertical="center"/>
    </xf>
    <xf numFmtId="190" fontId="3" fillId="5" borderId="41" xfId="3" applyNumberFormat="1" applyFont="1" applyFill="1" applyBorder="1" applyAlignment="1">
      <alignment horizontal="center" vertical="center"/>
    </xf>
    <xf numFmtId="190" fontId="3" fillId="4" borderId="52" xfId="3" applyNumberFormat="1" applyFont="1" applyFill="1" applyBorder="1" applyAlignment="1">
      <alignment horizontal="center" vertical="center"/>
    </xf>
    <xf numFmtId="190" fontId="24" fillId="0" borderId="25" xfId="3" applyNumberFormat="1" applyFont="1" applyFill="1" applyBorder="1" applyAlignment="1">
      <alignment horizontal="center" vertical="center" wrapText="1"/>
    </xf>
    <xf numFmtId="190" fontId="3" fillId="2" borderId="11" xfId="3" applyNumberFormat="1" applyFont="1" applyFill="1" applyBorder="1" applyAlignment="1">
      <alignment horizontal="center" vertical="center"/>
    </xf>
    <xf numFmtId="190" fontId="3" fillId="2" borderId="53" xfId="3" applyNumberFormat="1" applyFont="1" applyFill="1" applyBorder="1" applyAlignment="1">
      <alignment horizontal="center" vertical="center"/>
    </xf>
    <xf numFmtId="190" fontId="3" fillId="0" borderId="33" xfId="3" applyNumberFormat="1" applyFont="1" applyFill="1" applyBorder="1" applyAlignment="1">
      <alignment horizontal="center" vertical="center"/>
    </xf>
    <xf numFmtId="190" fontId="3" fillId="5" borderId="54" xfId="3" applyNumberFormat="1" applyFont="1" applyFill="1" applyBorder="1" applyAlignment="1">
      <alignment horizontal="center" vertical="center"/>
    </xf>
    <xf numFmtId="190" fontId="2" fillId="2" borderId="16" xfId="3" applyNumberFormat="1" applyFont="1" applyFill="1" applyBorder="1" applyAlignment="1">
      <alignment horizontal="center" vertical="center"/>
    </xf>
    <xf numFmtId="190" fontId="2" fillId="7" borderId="11" xfId="3" applyNumberFormat="1" applyFont="1" applyFill="1" applyBorder="1" applyAlignment="1">
      <alignment horizontal="center" vertical="center" wrapText="1"/>
    </xf>
    <xf numFmtId="190" fontId="2" fillId="7" borderId="7" xfId="3" applyNumberFormat="1" applyFont="1" applyFill="1" applyBorder="1" applyAlignment="1">
      <alignment horizontal="center" vertical="center" wrapText="1"/>
    </xf>
    <xf numFmtId="190" fontId="2" fillId="7" borderId="3" xfId="3" applyNumberFormat="1" applyFont="1" applyFill="1" applyBorder="1" applyAlignment="1">
      <alignment horizontal="center" vertical="center" wrapText="1"/>
    </xf>
    <xf numFmtId="190" fontId="3" fillId="6" borderId="5" xfId="3" applyNumberFormat="1" applyFont="1" applyFill="1" applyBorder="1" applyAlignment="1" applyProtection="1">
      <alignment horizontal="center" vertical="center" wrapText="1"/>
    </xf>
    <xf numFmtId="190" fontId="3" fillId="6" borderId="6" xfId="3" applyNumberFormat="1" applyFont="1" applyFill="1" applyBorder="1" applyAlignment="1" applyProtection="1">
      <alignment horizontal="center" vertical="center" wrapText="1"/>
    </xf>
    <xf numFmtId="190" fontId="2" fillId="7" borderId="12" xfId="3" applyNumberFormat="1" applyFont="1" applyFill="1" applyBorder="1" applyAlignment="1">
      <alignment horizontal="center" vertical="center" wrapText="1"/>
    </xf>
    <xf numFmtId="190" fontId="3" fillId="6" borderId="27" xfId="3" applyNumberFormat="1" applyFont="1" applyFill="1" applyBorder="1" applyAlignment="1" applyProtection="1">
      <alignment horizontal="center" vertical="center" wrapText="1"/>
    </xf>
    <xf numFmtId="190" fontId="2" fillId="7" borderId="55" xfId="3" applyNumberFormat="1" applyFont="1" applyFill="1" applyBorder="1" applyAlignment="1">
      <alignment horizontal="center" vertical="center" wrapText="1"/>
    </xf>
    <xf numFmtId="190" fontId="3" fillId="6" borderId="56" xfId="3" applyNumberFormat="1" applyFont="1" applyFill="1" applyBorder="1" applyAlignment="1" applyProtection="1">
      <alignment horizontal="center" vertical="center" wrapText="1"/>
    </xf>
    <xf numFmtId="190" fontId="3" fillId="8" borderId="12" xfId="3" applyNumberFormat="1" applyFont="1" applyFill="1" applyBorder="1" applyAlignment="1">
      <alignment horizontal="center" vertical="center"/>
    </xf>
    <xf numFmtId="190" fontId="3" fillId="8" borderId="17" xfId="3" applyNumberFormat="1" applyFont="1" applyFill="1" applyBorder="1" applyAlignment="1">
      <alignment horizontal="center" vertical="center"/>
    </xf>
    <xf numFmtId="190" fontId="3" fillId="8" borderId="25" xfId="3" applyNumberFormat="1" applyFont="1" applyFill="1" applyBorder="1" applyAlignment="1">
      <alignment horizontal="center" vertical="center"/>
    </xf>
    <xf numFmtId="190" fontId="24" fillId="0" borderId="57" xfId="3" applyNumberFormat="1" applyFont="1" applyFill="1" applyBorder="1" applyAlignment="1">
      <alignment horizontal="left" vertical="center" wrapText="1"/>
    </xf>
    <xf numFmtId="190" fontId="25" fillId="0" borderId="24" xfId="3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172" fontId="2" fillId="0" borderId="38" xfId="0" applyNumberFormat="1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73" fontId="14" fillId="0" borderId="2" xfId="0" quotePrefix="1" applyNumberFormat="1" applyFont="1" applyBorder="1" applyAlignment="1">
      <alignment horizontal="center" vertical="center" wrapText="1"/>
    </xf>
    <xf numFmtId="171" fontId="14" fillId="0" borderId="3" xfId="3" applyFont="1" applyBorder="1" applyAlignment="1">
      <alignment horizontal="center" vertical="center" wrapText="1"/>
    </xf>
    <xf numFmtId="173" fontId="14" fillId="0" borderId="0" xfId="0" applyNumberFormat="1" applyFont="1" applyBorder="1" applyAlignment="1">
      <alignment horizontal="left" vertical="center" wrapText="1"/>
    </xf>
    <xf numFmtId="173" fontId="14" fillId="0" borderId="19" xfId="0" quotePrefix="1" applyNumberFormat="1" applyFont="1" applyBorder="1" applyAlignment="1">
      <alignment horizontal="center" vertical="center" wrapText="1"/>
    </xf>
    <xf numFmtId="173" fontId="14" fillId="0" borderId="24" xfId="0" applyNumberFormat="1" applyFont="1" applyFill="1" applyBorder="1" applyAlignment="1">
      <alignment vertical="center" wrapText="1"/>
    </xf>
    <xf numFmtId="171" fontId="14" fillId="0" borderId="20" xfId="3" applyFont="1" applyFill="1" applyBorder="1" applyAlignment="1">
      <alignment horizontal="center" vertical="center" wrapText="1"/>
    </xf>
    <xf numFmtId="171" fontId="14" fillId="0" borderId="20" xfId="3" applyFont="1" applyBorder="1" applyAlignment="1">
      <alignment horizontal="center" vertical="center" wrapText="1"/>
    </xf>
    <xf numFmtId="171" fontId="14" fillId="0" borderId="21" xfId="3" applyFont="1" applyBorder="1" applyAlignment="1">
      <alignment horizontal="center" vertical="center" wrapText="1"/>
    </xf>
    <xf numFmtId="171" fontId="20" fillId="0" borderId="9" xfId="3" applyFont="1" applyBorder="1" applyAlignment="1">
      <alignment horizontal="center" vertical="center" wrapText="1"/>
    </xf>
    <xf numFmtId="171" fontId="20" fillId="0" borderId="29" xfId="3" applyFont="1" applyBorder="1" applyAlignment="1">
      <alignment horizontal="center" vertical="center" wrapText="1"/>
    </xf>
    <xf numFmtId="173" fontId="14" fillId="0" borderId="39" xfId="0" quotePrefix="1" applyNumberFormat="1" applyFont="1" applyBorder="1" applyAlignment="1">
      <alignment horizontal="center" vertical="center" wrapText="1"/>
    </xf>
    <xf numFmtId="173" fontId="14" fillId="0" borderId="38" xfId="0" applyNumberFormat="1" applyFont="1" applyFill="1" applyBorder="1" applyAlignment="1">
      <alignment vertical="center" wrapText="1"/>
    </xf>
    <xf numFmtId="171" fontId="14" fillId="0" borderId="38" xfId="3" applyFont="1" applyFill="1" applyBorder="1" applyAlignment="1">
      <alignment horizontal="center" vertical="center" wrapText="1"/>
    </xf>
    <xf numFmtId="171" fontId="14" fillId="0" borderId="38" xfId="3" applyFont="1" applyBorder="1" applyAlignment="1">
      <alignment horizontal="center" vertical="center" wrapText="1"/>
    </xf>
    <xf numFmtId="171" fontId="14" fillId="0" borderId="23" xfId="3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90" fontId="11" fillId="15" borderId="10" xfId="3" applyNumberFormat="1" applyFont="1" applyFill="1" applyBorder="1" applyAlignment="1">
      <alignment horizontal="center" vertical="center" wrapText="1"/>
    </xf>
    <xf numFmtId="190" fontId="11" fillId="15" borderId="4" xfId="3" applyNumberFormat="1" applyFont="1" applyFill="1" applyBorder="1" applyAlignment="1">
      <alignment horizontal="center" vertical="center" wrapText="1"/>
    </xf>
    <xf numFmtId="190" fontId="11" fillId="0" borderId="11" xfId="3" applyNumberFormat="1" applyFont="1" applyBorder="1" applyAlignment="1">
      <alignment horizontal="center" vertical="center" wrapText="1"/>
    </xf>
    <xf numFmtId="190" fontId="11" fillId="0" borderId="5" xfId="3" applyNumberFormat="1" applyFont="1" applyBorder="1" applyAlignment="1">
      <alignment horizontal="center" vertical="center" wrapText="1"/>
    </xf>
    <xf numFmtId="190" fontId="11" fillId="0" borderId="7" xfId="3" applyNumberFormat="1" applyFont="1" applyBorder="1" applyAlignment="1">
      <alignment horizontal="center" vertical="center" wrapText="1"/>
    </xf>
    <xf numFmtId="190" fontId="11" fillId="0" borderId="6" xfId="3" applyNumberFormat="1" applyFont="1" applyBorder="1" applyAlignment="1">
      <alignment horizontal="center" vertical="center" wrapText="1"/>
    </xf>
    <xf numFmtId="190" fontId="11" fillId="0" borderId="0" xfId="3" applyNumberFormat="1" applyFont="1" applyAlignment="1">
      <alignment horizontal="center" wrapText="1"/>
    </xf>
    <xf numFmtId="190" fontId="11" fillId="0" borderId="0" xfId="3" applyNumberFormat="1" applyFont="1" applyAlignment="1">
      <alignment horizontal="center"/>
    </xf>
    <xf numFmtId="190" fontId="11" fillId="0" borderId="0" xfId="3" applyNumberFormat="1" applyFont="1" applyBorder="1" applyAlignment="1">
      <alignment horizontal="right"/>
    </xf>
    <xf numFmtId="190" fontId="11" fillId="15" borderId="11" xfId="3" applyNumberFormat="1" applyFont="1" applyFill="1" applyBorder="1" applyAlignment="1">
      <alignment horizontal="center" vertical="center" wrapText="1"/>
    </xf>
    <xf numFmtId="190" fontId="11" fillId="15" borderId="5" xfId="3" applyNumberFormat="1" applyFont="1" applyFill="1" applyBorder="1" applyAlignment="1">
      <alignment horizontal="center" vertical="center" wrapText="1"/>
    </xf>
    <xf numFmtId="190" fontId="11" fillId="15" borderId="14" xfId="3" applyNumberFormat="1" applyFont="1" applyFill="1" applyBorder="1" applyAlignment="1">
      <alignment horizontal="center" vertical="center" wrapText="1"/>
    </xf>
    <xf numFmtId="190" fontId="11" fillId="15" borderId="26" xfId="3" applyNumberFormat="1" applyFont="1" applyFill="1" applyBorder="1" applyAlignment="1">
      <alignment horizontal="center" vertical="center" wrapText="1"/>
    </xf>
    <xf numFmtId="190" fontId="2" fillId="0" borderId="25" xfId="3" applyNumberFormat="1" applyFont="1" applyFill="1" applyBorder="1" applyAlignment="1">
      <alignment horizontal="left" vertical="center" wrapText="1"/>
    </xf>
    <xf numFmtId="190" fontId="2" fillId="0" borderId="57" xfId="3" applyNumberFormat="1" applyFont="1" applyFill="1" applyBorder="1" applyAlignment="1">
      <alignment horizontal="left" vertical="center" wrapText="1"/>
    </xf>
    <xf numFmtId="190" fontId="2" fillId="0" borderId="35" xfId="3" applyNumberFormat="1" applyFont="1" applyFill="1" applyBorder="1" applyAlignment="1">
      <alignment horizontal="left" vertical="center" wrapText="1"/>
    </xf>
    <xf numFmtId="190" fontId="2" fillId="0" borderId="19" xfId="3" applyNumberFormat="1" applyFont="1" applyFill="1" applyBorder="1" applyAlignment="1">
      <alignment horizontal="center" vertical="center"/>
    </xf>
    <xf numFmtId="190" fontId="2" fillId="0" borderId="44" xfId="3" applyNumberFormat="1" applyFont="1" applyFill="1" applyBorder="1" applyAlignment="1">
      <alignment horizontal="center" vertical="center"/>
    </xf>
    <xf numFmtId="190" fontId="2" fillId="0" borderId="39" xfId="3" applyNumberFormat="1" applyFont="1" applyFill="1" applyBorder="1" applyAlignment="1">
      <alignment horizontal="center" vertical="center"/>
    </xf>
    <xf numFmtId="190" fontId="3" fillId="0" borderId="20" xfId="3" applyNumberFormat="1" applyFont="1" applyFill="1" applyBorder="1" applyAlignment="1">
      <alignment horizontal="center" vertical="center"/>
    </xf>
    <xf numFmtId="190" fontId="3" fillId="0" borderId="22" xfId="3" applyNumberFormat="1" applyFont="1" applyFill="1" applyBorder="1" applyAlignment="1">
      <alignment horizontal="center" vertical="center"/>
    </xf>
    <xf numFmtId="190" fontId="3" fillId="0" borderId="38" xfId="3" applyNumberFormat="1" applyFont="1" applyFill="1" applyBorder="1" applyAlignment="1">
      <alignment horizontal="center" vertical="center"/>
    </xf>
    <xf numFmtId="190" fontId="3" fillId="0" borderId="21" xfId="3" applyNumberFormat="1" applyFont="1" applyFill="1" applyBorder="1" applyAlignment="1">
      <alignment horizontal="center" vertical="center"/>
    </xf>
    <xf numFmtId="190" fontId="3" fillId="0" borderId="58" xfId="3" applyNumberFormat="1" applyFont="1" applyFill="1" applyBorder="1" applyAlignment="1">
      <alignment horizontal="center" vertical="center"/>
    </xf>
    <xf numFmtId="190" fontId="3" fillId="0" borderId="23" xfId="3" applyNumberFormat="1" applyFont="1" applyFill="1" applyBorder="1" applyAlignment="1">
      <alignment horizontal="center" vertical="center"/>
    </xf>
    <xf numFmtId="190" fontId="3" fillId="3" borderId="19" xfId="3" applyNumberFormat="1" applyFont="1" applyFill="1" applyBorder="1" applyAlignment="1">
      <alignment horizontal="center" vertical="center"/>
    </xf>
    <xf numFmtId="190" fontId="3" fillId="3" borderId="44" xfId="3" applyNumberFormat="1" applyFont="1" applyFill="1" applyBorder="1" applyAlignment="1">
      <alignment horizontal="center" vertical="center"/>
    </xf>
    <xf numFmtId="190" fontId="3" fillId="4" borderId="20" xfId="3" applyNumberFormat="1" applyFont="1" applyFill="1" applyBorder="1" applyAlignment="1">
      <alignment horizontal="center" vertical="center"/>
    </xf>
    <xf numFmtId="190" fontId="3" fillId="4" borderId="22" xfId="3" applyNumberFormat="1" applyFont="1" applyFill="1" applyBorder="1" applyAlignment="1">
      <alignment horizontal="center" vertical="center"/>
    </xf>
    <xf numFmtId="190" fontId="3" fillId="0" borderId="20" xfId="3" applyNumberFormat="1" applyFont="1" applyBorder="1" applyAlignment="1">
      <alignment horizontal="center" vertical="center"/>
    </xf>
    <xf numFmtId="190" fontId="3" fillId="0" borderId="22" xfId="3" applyNumberFormat="1" applyFont="1" applyBorder="1" applyAlignment="1">
      <alignment horizontal="center" vertical="center"/>
    </xf>
    <xf numFmtId="190" fontId="2" fillId="0" borderId="20" xfId="3" applyNumberFormat="1" applyFont="1" applyFill="1" applyBorder="1" applyAlignment="1">
      <alignment horizontal="left" vertical="center" wrapText="1"/>
    </xf>
    <xf numFmtId="190" fontId="2" fillId="0" borderId="22" xfId="3" applyNumberFormat="1" applyFont="1" applyFill="1" applyBorder="1" applyAlignment="1">
      <alignment horizontal="left" vertical="center" wrapText="1"/>
    </xf>
    <xf numFmtId="190" fontId="2" fillId="0" borderId="20" xfId="3" applyNumberFormat="1" applyFont="1" applyBorder="1" applyAlignment="1">
      <alignment horizontal="center" vertical="center" wrapText="1"/>
    </xf>
    <xf numFmtId="190" fontId="2" fillId="0" borderId="22" xfId="3" applyNumberFormat="1" applyFont="1" applyBorder="1" applyAlignment="1">
      <alignment horizontal="center" vertical="center" wrapText="1"/>
    </xf>
    <xf numFmtId="190" fontId="2" fillId="0" borderId="43" xfId="3" quotePrefix="1" applyNumberFormat="1" applyFont="1" applyBorder="1" applyAlignment="1">
      <alignment horizontal="center" vertical="center"/>
    </xf>
    <xf numFmtId="190" fontId="2" fillId="0" borderId="42" xfId="3" applyNumberFormat="1" applyFont="1" applyBorder="1" applyAlignment="1">
      <alignment horizontal="center" vertical="center"/>
    </xf>
    <xf numFmtId="190" fontId="2" fillId="11" borderId="21" xfId="3" applyNumberFormat="1" applyFont="1" applyFill="1" applyBorder="1" applyAlignment="1">
      <alignment horizontal="center" vertical="center"/>
    </xf>
    <xf numFmtId="190" fontId="2" fillId="11" borderId="58" xfId="3" applyNumberFormat="1" applyFont="1" applyFill="1" applyBorder="1" applyAlignment="1">
      <alignment horizontal="center" vertical="center"/>
    </xf>
    <xf numFmtId="190" fontId="2" fillId="11" borderId="23" xfId="3" applyNumberFormat="1" applyFont="1" applyFill="1" applyBorder="1" applyAlignment="1">
      <alignment horizontal="center" vertical="center"/>
    </xf>
    <xf numFmtId="190" fontId="2" fillId="0" borderId="3" xfId="3" applyNumberFormat="1" applyFont="1" applyFill="1" applyBorder="1" applyAlignment="1">
      <alignment horizontal="center" vertical="center"/>
    </xf>
    <xf numFmtId="190" fontId="2" fillId="0" borderId="24" xfId="3" applyNumberFormat="1" applyFont="1" applyFill="1" applyBorder="1" applyAlignment="1">
      <alignment horizontal="center" vertical="center"/>
    </xf>
    <xf numFmtId="190" fontId="2" fillId="0" borderId="60" xfId="3" applyNumberFormat="1" applyFont="1" applyFill="1" applyBorder="1" applyAlignment="1">
      <alignment horizontal="center" vertical="center"/>
    </xf>
    <xf numFmtId="190" fontId="2" fillId="0" borderId="47" xfId="3" applyNumberFormat="1" applyFont="1" applyFill="1" applyBorder="1" applyAlignment="1">
      <alignment horizontal="center" vertical="center"/>
    </xf>
    <xf numFmtId="190" fontId="21" fillId="0" borderId="20" xfId="3" applyNumberFormat="1" applyFont="1" applyFill="1" applyBorder="1" applyAlignment="1">
      <alignment horizontal="center" vertical="center"/>
    </xf>
    <xf numFmtId="190" fontId="21" fillId="0" borderId="22" xfId="3" applyNumberFormat="1" applyFont="1" applyFill="1" applyBorder="1" applyAlignment="1">
      <alignment horizontal="center" vertical="center"/>
    </xf>
    <xf numFmtId="190" fontId="21" fillId="0" borderId="38" xfId="3" applyNumberFormat="1" applyFont="1" applyFill="1" applyBorder="1" applyAlignment="1">
      <alignment horizontal="center" vertical="center"/>
    </xf>
    <xf numFmtId="190" fontId="2" fillId="0" borderId="21" xfId="3" applyNumberFormat="1" applyFont="1" applyFill="1" applyBorder="1" applyAlignment="1">
      <alignment horizontal="center" vertical="center"/>
    </xf>
    <xf numFmtId="190" fontId="2" fillId="0" borderId="58" xfId="3" applyNumberFormat="1" applyFont="1" applyFill="1" applyBorder="1" applyAlignment="1">
      <alignment horizontal="center" vertical="center"/>
    </xf>
    <xf numFmtId="190" fontId="2" fillId="0" borderId="23" xfId="3" applyNumberFormat="1" applyFont="1" applyFill="1" applyBorder="1" applyAlignment="1">
      <alignment horizontal="center" vertical="center"/>
    </xf>
    <xf numFmtId="190" fontId="2" fillId="11" borderId="44" xfId="3" applyNumberFormat="1" applyFont="1" applyFill="1" applyBorder="1" applyAlignment="1">
      <alignment horizontal="center" vertical="center"/>
    </xf>
    <xf numFmtId="190" fontId="2" fillId="11" borderId="39" xfId="3" applyNumberFormat="1" applyFont="1" applyFill="1" applyBorder="1" applyAlignment="1">
      <alignment horizontal="center" vertical="center"/>
    </xf>
    <xf numFmtId="190" fontId="2" fillId="11" borderId="22" xfId="3" applyNumberFormat="1" applyFont="1" applyFill="1" applyBorder="1" applyAlignment="1">
      <alignment horizontal="center" vertical="center"/>
    </xf>
    <xf numFmtId="190" fontId="2" fillId="11" borderId="38" xfId="3" applyNumberFormat="1" applyFont="1" applyFill="1" applyBorder="1" applyAlignment="1">
      <alignment horizontal="center" vertical="center"/>
    </xf>
    <xf numFmtId="190" fontId="3" fillId="11" borderId="58" xfId="3" applyNumberFormat="1" applyFont="1" applyFill="1" applyBorder="1" applyAlignment="1">
      <alignment horizontal="center" vertical="center"/>
    </xf>
    <xf numFmtId="190" fontId="3" fillId="11" borderId="23" xfId="3" applyNumberFormat="1" applyFont="1" applyFill="1" applyBorder="1" applyAlignment="1">
      <alignment horizontal="center" vertical="center"/>
    </xf>
    <xf numFmtId="190" fontId="2" fillId="0" borderId="20" xfId="3" applyNumberFormat="1" applyFont="1" applyFill="1" applyBorder="1" applyAlignment="1">
      <alignment horizontal="center" vertical="center"/>
    </xf>
    <xf numFmtId="190" fontId="2" fillId="0" borderId="22" xfId="3" applyNumberFormat="1" applyFont="1" applyFill="1" applyBorder="1" applyAlignment="1">
      <alignment horizontal="center" vertical="center"/>
    </xf>
    <xf numFmtId="190" fontId="2" fillId="0" borderId="38" xfId="3" applyNumberFormat="1" applyFont="1" applyFill="1" applyBorder="1" applyAlignment="1">
      <alignment horizontal="center" vertical="center"/>
    </xf>
    <xf numFmtId="190" fontId="3" fillId="11" borderId="19" xfId="3" applyNumberFormat="1" applyFont="1" applyFill="1" applyBorder="1" applyAlignment="1">
      <alignment horizontal="center" vertical="center"/>
    </xf>
    <xf numFmtId="190" fontId="3" fillId="11" borderId="44" xfId="3" applyNumberFormat="1" applyFont="1" applyFill="1" applyBorder="1" applyAlignment="1">
      <alignment horizontal="center" vertical="center"/>
    </xf>
    <xf numFmtId="190" fontId="3" fillId="11" borderId="39" xfId="3" applyNumberFormat="1" applyFont="1" applyFill="1" applyBorder="1" applyAlignment="1">
      <alignment horizontal="center" vertical="center"/>
    </xf>
    <xf numFmtId="190" fontId="2" fillId="11" borderId="20" xfId="3" applyNumberFormat="1" applyFont="1" applyFill="1" applyBorder="1" applyAlignment="1">
      <alignment horizontal="center" vertical="center"/>
    </xf>
    <xf numFmtId="190" fontId="3" fillId="3" borderId="9" xfId="3" applyNumberFormat="1" applyFont="1" applyFill="1" applyBorder="1" applyAlignment="1">
      <alignment horizontal="center" vertical="center"/>
    </xf>
    <xf numFmtId="190" fontId="3" fillId="3" borderId="45" xfId="3" applyNumberFormat="1" applyFont="1" applyFill="1" applyBorder="1" applyAlignment="1">
      <alignment horizontal="center" vertical="center"/>
    </xf>
    <xf numFmtId="190" fontId="2" fillId="11" borderId="3" xfId="3" applyNumberFormat="1" applyFont="1" applyFill="1" applyBorder="1" applyAlignment="1">
      <alignment horizontal="center" vertical="center"/>
    </xf>
    <xf numFmtId="190" fontId="2" fillId="11" borderId="24" xfId="3" applyNumberFormat="1" applyFont="1" applyFill="1" applyBorder="1" applyAlignment="1">
      <alignment horizontal="center" vertical="center"/>
    </xf>
    <xf numFmtId="190" fontId="2" fillId="11" borderId="60" xfId="3" applyNumberFormat="1" applyFont="1" applyFill="1" applyBorder="1" applyAlignment="1">
      <alignment horizontal="center" vertical="center"/>
    </xf>
    <xf numFmtId="190" fontId="2" fillId="11" borderId="47" xfId="3" applyNumberFormat="1" applyFont="1" applyFill="1" applyBorder="1" applyAlignment="1">
      <alignment horizontal="center" vertical="center"/>
    </xf>
    <xf numFmtId="190" fontId="2" fillId="0" borderId="36" xfId="3" quotePrefix="1" applyNumberFormat="1" applyFont="1" applyBorder="1" applyAlignment="1">
      <alignment horizontal="center" vertical="center"/>
    </xf>
    <xf numFmtId="190" fontId="2" fillId="0" borderId="36" xfId="3" applyNumberFormat="1" applyFont="1" applyBorder="1" applyAlignment="1">
      <alignment horizontal="center" vertical="center"/>
    </xf>
    <xf numFmtId="190" fontId="25" fillId="0" borderId="33" xfId="3" applyNumberFormat="1" applyFont="1" applyFill="1" applyBorder="1" applyAlignment="1">
      <alignment horizontal="center" vertical="center" wrapText="1"/>
    </xf>
    <xf numFmtId="190" fontId="25" fillId="0" borderId="32" xfId="3" applyNumberFormat="1" applyFont="1" applyFill="1" applyBorder="1" applyAlignment="1">
      <alignment horizontal="center" vertical="center" wrapText="1"/>
    </xf>
    <xf numFmtId="190" fontId="25" fillId="0" borderId="18" xfId="3" applyNumberFormat="1" applyFont="1" applyFill="1" applyBorder="1" applyAlignment="1">
      <alignment horizontal="center" vertical="center" wrapText="1"/>
    </xf>
    <xf numFmtId="190" fontId="2" fillId="0" borderId="15" xfId="3" applyNumberFormat="1" applyFont="1" applyFill="1" applyBorder="1" applyAlignment="1">
      <alignment horizontal="center" vertical="center"/>
    </xf>
    <xf numFmtId="190" fontId="2" fillId="0" borderId="14" xfId="3" applyNumberFormat="1" applyFont="1" applyBorder="1" applyAlignment="1">
      <alignment horizontal="center" vertical="center"/>
    </xf>
    <xf numFmtId="190" fontId="2" fillId="0" borderId="38" xfId="3" applyNumberFormat="1" applyFont="1" applyBorder="1" applyAlignment="1">
      <alignment horizontal="center" vertical="center"/>
    </xf>
    <xf numFmtId="190" fontId="2" fillId="0" borderId="13" xfId="3" applyNumberFormat="1" applyFont="1" applyFill="1" applyBorder="1" applyAlignment="1">
      <alignment horizontal="center" vertical="center"/>
    </xf>
    <xf numFmtId="190" fontId="3" fillId="3" borderId="24" xfId="3" applyNumberFormat="1" applyFont="1" applyFill="1" applyBorder="1" applyAlignment="1">
      <alignment horizontal="center" vertical="center"/>
    </xf>
    <xf numFmtId="190" fontId="3" fillId="3" borderId="47" xfId="3" applyNumberFormat="1" applyFont="1" applyFill="1" applyBorder="1" applyAlignment="1">
      <alignment horizontal="center" vertical="center"/>
    </xf>
    <xf numFmtId="190" fontId="3" fillId="4" borderId="38" xfId="3" applyNumberFormat="1" applyFont="1" applyFill="1" applyBorder="1" applyAlignment="1">
      <alignment horizontal="center" vertical="center"/>
    </xf>
    <xf numFmtId="190" fontId="3" fillId="0" borderId="38" xfId="3" applyNumberFormat="1" applyFont="1" applyBorder="1" applyAlignment="1">
      <alignment horizontal="center" vertical="center"/>
    </xf>
    <xf numFmtId="190" fontId="2" fillId="0" borderId="20" xfId="3" applyNumberFormat="1" applyFont="1" applyFill="1" applyBorder="1" applyAlignment="1">
      <alignment horizontal="left" vertical="top" wrapText="1"/>
    </xf>
    <xf numFmtId="190" fontId="2" fillId="0" borderId="38" xfId="3" applyNumberFormat="1" applyFont="1" applyFill="1" applyBorder="1" applyAlignment="1">
      <alignment horizontal="left" vertical="top" wrapText="1"/>
    </xf>
    <xf numFmtId="190" fontId="2" fillId="0" borderId="38" xfId="3" applyNumberFormat="1" applyFont="1" applyBorder="1" applyAlignment="1">
      <alignment horizontal="center" vertical="center" wrapText="1"/>
    </xf>
    <xf numFmtId="190" fontId="2" fillId="0" borderId="59" xfId="3" applyNumberFormat="1" applyFont="1" applyBorder="1" applyAlignment="1">
      <alignment horizontal="center" vertical="center"/>
    </xf>
    <xf numFmtId="190" fontId="21" fillId="0" borderId="20" xfId="3" applyNumberFormat="1" applyFont="1" applyBorder="1" applyAlignment="1">
      <alignment horizontal="center" vertical="center"/>
    </xf>
    <xf numFmtId="190" fontId="21" fillId="0" borderId="22" xfId="3" applyNumberFormat="1" applyFont="1" applyBorder="1" applyAlignment="1">
      <alignment horizontal="center" vertical="center"/>
    </xf>
    <xf numFmtId="190" fontId="21" fillId="0" borderId="38" xfId="3" applyNumberFormat="1" applyFont="1" applyBorder="1" applyAlignment="1">
      <alignment horizontal="center" vertical="center"/>
    </xf>
    <xf numFmtId="190" fontId="2" fillId="0" borderId="17" xfId="3" applyNumberFormat="1" applyFont="1" applyFill="1" applyBorder="1" applyAlignment="1">
      <alignment horizontal="left" vertical="center" wrapText="1"/>
    </xf>
    <xf numFmtId="190" fontId="2" fillId="0" borderId="1" xfId="3" applyNumberFormat="1" applyFont="1" applyBorder="1" applyAlignment="1">
      <alignment horizontal="center" vertical="center"/>
    </xf>
    <xf numFmtId="190" fontId="21" fillId="0" borderId="68" xfId="3" applyNumberFormat="1" applyFont="1" applyFill="1" applyBorder="1" applyAlignment="1">
      <alignment horizontal="center" vertical="center"/>
    </xf>
    <xf numFmtId="190" fontId="21" fillId="0" borderId="50" xfId="3" applyNumberFormat="1" applyFont="1" applyFill="1" applyBorder="1" applyAlignment="1">
      <alignment horizontal="center" vertical="center"/>
    </xf>
    <xf numFmtId="190" fontId="2" fillId="11" borderId="12" xfId="3" applyNumberFormat="1" applyFont="1" applyFill="1" applyBorder="1" applyAlignment="1">
      <alignment horizontal="left" vertical="center" wrapText="1"/>
    </xf>
    <xf numFmtId="190" fontId="2" fillId="11" borderId="17" xfId="3" applyNumberFormat="1" applyFont="1" applyFill="1" applyBorder="1" applyAlignment="1">
      <alignment horizontal="left" vertical="center" wrapText="1"/>
    </xf>
    <xf numFmtId="190" fontId="2" fillId="0" borderId="61" xfId="3" applyNumberFormat="1" applyFont="1" applyFill="1" applyBorder="1" applyAlignment="1">
      <alignment horizontal="left" vertical="center" wrapText="1"/>
    </xf>
    <xf numFmtId="190" fontId="2" fillId="0" borderId="2" xfId="3" applyNumberFormat="1" applyFont="1" applyFill="1" applyBorder="1" applyAlignment="1">
      <alignment horizontal="center" vertical="center"/>
    </xf>
    <xf numFmtId="190" fontId="2" fillId="0" borderId="1" xfId="3" applyNumberFormat="1" applyFont="1" applyFill="1" applyBorder="1" applyAlignment="1">
      <alignment horizontal="center" vertical="center"/>
    </xf>
    <xf numFmtId="190" fontId="3" fillId="8" borderId="2" xfId="3" applyNumberFormat="1" applyFont="1" applyFill="1" applyBorder="1" applyAlignment="1">
      <alignment horizontal="left" vertical="center" wrapText="1"/>
    </xf>
    <xf numFmtId="190" fontId="3" fillId="8" borderId="1" xfId="3" applyNumberFormat="1" applyFont="1" applyFill="1" applyBorder="1" applyAlignment="1">
      <alignment horizontal="left" vertical="center" wrapText="1"/>
    </xf>
    <xf numFmtId="190" fontId="3" fillId="8" borderId="36" xfId="3" applyNumberFormat="1" applyFont="1" applyFill="1" applyBorder="1" applyAlignment="1">
      <alignment horizontal="left" vertical="center" wrapText="1"/>
    </xf>
    <xf numFmtId="190" fontId="3" fillId="8" borderId="2" xfId="3" applyNumberFormat="1" applyFont="1" applyFill="1" applyBorder="1" applyAlignment="1">
      <alignment vertical="center" wrapText="1"/>
    </xf>
    <xf numFmtId="190" fontId="3" fillId="8" borderId="1" xfId="3" applyNumberFormat="1" applyFont="1" applyFill="1" applyBorder="1" applyAlignment="1">
      <alignment vertical="center" wrapText="1"/>
    </xf>
    <xf numFmtId="190" fontId="3" fillId="8" borderId="36" xfId="3" applyNumberFormat="1" applyFont="1" applyFill="1" applyBorder="1" applyAlignment="1">
      <alignment vertical="center" wrapText="1"/>
    </xf>
    <xf numFmtId="190" fontId="3" fillId="8" borderId="19" xfId="3" applyNumberFormat="1" applyFont="1" applyFill="1" applyBorder="1" applyAlignment="1">
      <alignment vertical="center" wrapText="1"/>
    </xf>
    <xf numFmtId="190" fontId="3" fillId="8" borderId="20" xfId="3" applyNumberFormat="1" applyFont="1" applyFill="1" applyBorder="1" applyAlignment="1">
      <alignment vertical="center" wrapText="1"/>
    </xf>
    <xf numFmtId="190" fontId="3" fillId="8" borderId="43" xfId="3" applyNumberFormat="1" applyFont="1" applyFill="1" applyBorder="1" applyAlignment="1">
      <alignment vertical="center" wrapText="1"/>
    </xf>
    <xf numFmtId="190" fontId="3" fillId="4" borderId="9" xfId="3" applyNumberFormat="1" applyFont="1" applyFill="1" applyBorder="1" applyAlignment="1">
      <alignment horizontal="center" vertical="center"/>
    </xf>
    <xf numFmtId="190" fontId="3" fillId="4" borderId="45" xfId="3" applyNumberFormat="1" applyFont="1" applyFill="1" applyBorder="1" applyAlignment="1">
      <alignment horizontal="center" vertical="center"/>
    </xf>
    <xf numFmtId="190" fontId="3" fillId="6" borderId="8" xfId="3" applyNumberFormat="1" applyFont="1" applyFill="1" applyBorder="1" applyAlignment="1">
      <alignment horizontal="center" vertical="center"/>
    </xf>
    <xf numFmtId="190" fontId="3" fillId="6" borderId="9" xfId="3" applyNumberFormat="1" applyFont="1" applyFill="1" applyBorder="1" applyAlignment="1">
      <alignment horizontal="center" vertical="center"/>
    </xf>
    <xf numFmtId="190" fontId="3" fillId="6" borderId="45" xfId="3" applyNumberFormat="1" applyFont="1" applyFill="1" applyBorder="1" applyAlignment="1">
      <alignment horizontal="center" vertical="center"/>
    </xf>
    <xf numFmtId="190" fontId="3" fillId="3" borderId="10" xfId="3" applyNumberFormat="1" applyFont="1" applyFill="1" applyBorder="1" applyAlignment="1">
      <alignment horizontal="center" vertical="center" textRotation="90" wrapText="1"/>
    </xf>
    <xf numFmtId="190" fontId="3" fillId="3" borderId="7" xfId="3" applyNumberFormat="1" applyFont="1" applyFill="1" applyBorder="1" applyAlignment="1">
      <alignment horizontal="center" vertical="center" textRotation="90" wrapText="1"/>
    </xf>
    <xf numFmtId="190" fontId="3" fillId="3" borderId="2" xfId="3" applyNumberFormat="1" applyFont="1" applyFill="1" applyBorder="1" applyAlignment="1">
      <alignment horizontal="center" vertical="center" textRotation="90" wrapText="1"/>
    </xf>
    <xf numFmtId="190" fontId="3" fillId="3" borderId="3" xfId="3" applyNumberFormat="1" applyFont="1" applyFill="1" applyBorder="1" applyAlignment="1">
      <alignment horizontal="center" vertical="center" textRotation="90" wrapText="1"/>
    </xf>
    <xf numFmtId="190" fontId="3" fillId="3" borderId="4" xfId="3" applyNumberFormat="1" applyFont="1" applyFill="1" applyBorder="1" applyAlignment="1">
      <alignment horizontal="center" vertical="center" textRotation="90" wrapText="1"/>
    </xf>
    <xf numFmtId="190" fontId="3" fillId="3" borderId="6" xfId="3" applyNumberFormat="1" applyFont="1" applyFill="1" applyBorder="1" applyAlignment="1">
      <alignment horizontal="center" vertical="center" textRotation="90" wrapText="1"/>
    </xf>
    <xf numFmtId="190" fontId="3" fillId="8" borderId="10" xfId="3" applyNumberFormat="1" applyFont="1" applyFill="1" applyBorder="1" applyAlignment="1">
      <alignment vertical="center" wrapText="1"/>
    </xf>
    <xf numFmtId="190" fontId="3" fillId="8" borderId="11" xfId="3" applyNumberFormat="1" applyFont="1" applyFill="1" applyBorder="1" applyAlignment="1">
      <alignment vertical="center" wrapText="1"/>
    </xf>
    <xf numFmtId="190" fontId="3" fillId="8" borderId="71" xfId="3" applyNumberFormat="1" applyFont="1" applyFill="1" applyBorder="1" applyAlignment="1">
      <alignment vertical="center" wrapText="1"/>
    </xf>
    <xf numFmtId="190" fontId="3" fillId="8" borderId="8" xfId="3" applyNumberFormat="1" applyFont="1" applyFill="1" applyBorder="1" applyAlignment="1">
      <alignment horizontal="center" vertical="center"/>
    </xf>
    <xf numFmtId="190" fontId="3" fillId="8" borderId="9" xfId="3" applyNumberFormat="1" applyFont="1" applyFill="1" applyBorder="1" applyAlignment="1">
      <alignment horizontal="center" vertical="center"/>
    </xf>
    <xf numFmtId="190" fontId="3" fillId="8" borderId="29" xfId="3" applyNumberFormat="1" applyFont="1" applyFill="1" applyBorder="1" applyAlignment="1">
      <alignment horizontal="center" vertical="center"/>
    </xf>
    <xf numFmtId="190" fontId="2" fillId="0" borderId="27" xfId="3" applyNumberFormat="1" applyFont="1" applyFill="1" applyBorder="1" applyAlignment="1">
      <alignment horizontal="left" vertical="center" wrapText="1"/>
    </xf>
    <xf numFmtId="190" fontId="3" fillId="3" borderId="2" xfId="3" applyNumberFormat="1" applyFont="1" applyFill="1" applyBorder="1" applyAlignment="1">
      <alignment horizontal="center" vertical="center"/>
    </xf>
    <xf numFmtId="190" fontId="3" fillId="3" borderId="4" xfId="3" applyNumberFormat="1" applyFont="1" applyFill="1" applyBorder="1" applyAlignment="1">
      <alignment horizontal="center" vertical="center"/>
    </xf>
    <xf numFmtId="190" fontId="3" fillId="4" borderId="1" xfId="3" applyNumberFormat="1" applyFont="1" applyFill="1" applyBorder="1" applyAlignment="1">
      <alignment horizontal="center" vertical="center"/>
    </xf>
    <xf numFmtId="190" fontId="3" fillId="4" borderId="5" xfId="3" applyNumberFormat="1" applyFont="1" applyFill="1" applyBorder="1" applyAlignment="1">
      <alignment horizontal="center" vertical="center"/>
    </xf>
    <xf numFmtId="190" fontId="3" fillId="0" borderId="26" xfId="3" applyNumberFormat="1" applyFont="1" applyBorder="1" applyAlignment="1">
      <alignment horizontal="center" vertical="center"/>
    </xf>
    <xf numFmtId="190" fontId="2" fillId="0" borderId="26" xfId="3" applyNumberFormat="1" applyFont="1" applyFill="1" applyBorder="1" applyAlignment="1">
      <alignment horizontal="left" vertical="center" wrapText="1"/>
    </xf>
    <xf numFmtId="190" fontId="2" fillId="0" borderId="26" xfId="3" applyNumberFormat="1" applyFont="1" applyBorder="1" applyAlignment="1">
      <alignment horizontal="center" vertical="center" wrapText="1"/>
    </xf>
    <xf numFmtId="190" fontId="2" fillId="0" borderId="62" xfId="3" applyNumberFormat="1" applyFont="1" applyBorder="1" applyAlignment="1">
      <alignment horizontal="center" vertical="center"/>
    </xf>
    <xf numFmtId="190" fontId="3" fillId="0" borderId="1" xfId="3" applyNumberFormat="1" applyFont="1" applyFill="1" applyBorder="1" applyAlignment="1">
      <alignment horizontal="center" vertical="center"/>
    </xf>
    <xf numFmtId="190" fontId="2" fillId="0" borderId="1" xfId="3" applyNumberFormat="1" applyFont="1" applyFill="1" applyBorder="1" applyAlignment="1">
      <alignment horizontal="left" vertical="center" wrapText="1"/>
    </xf>
    <xf numFmtId="190" fontId="2" fillId="0" borderId="1" xfId="3" applyNumberFormat="1" applyFont="1" applyBorder="1" applyAlignment="1">
      <alignment horizontal="center" vertical="center" wrapText="1"/>
    </xf>
    <xf numFmtId="190" fontId="2" fillId="2" borderId="10" xfId="3" applyNumberFormat="1" applyFont="1" applyFill="1" applyBorder="1" applyAlignment="1">
      <alignment horizontal="center" vertical="center"/>
    </xf>
    <xf numFmtId="190" fontId="2" fillId="11" borderId="2" xfId="3" applyNumberFormat="1" applyFont="1" applyFill="1" applyBorder="1" applyAlignment="1">
      <alignment horizontal="center" vertical="center"/>
    </xf>
    <xf numFmtId="190" fontId="3" fillId="11" borderId="11" xfId="3" applyNumberFormat="1" applyFont="1" applyFill="1" applyBorder="1" applyAlignment="1">
      <alignment horizontal="center" vertical="center"/>
    </xf>
    <xf numFmtId="190" fontId="3" fillId="11" borderId="1" xfId="3" applyNumberFormat="1" applyFont="1" applyFill="1" applyBorder="1" applyAlignment="1">
      <alignment horizontal="center" vertical="center"/>
    </xf>
    <xf numFmtId="190" fontId="3" fillId="2" borderId="7" xfId="3" applyNumberFormat="1" applyFont="1" applyFill="1" applyBorder="1" applyAlignment="1">
      <alignment horizontal="center" vertical="center"/>
    </xf>
    <xf numFmtId="190" fontId="3" fillId="2" borderId="3" xfId="3" applyNumberFormat="1" applyFont="1" applyFill="1" applyBorder="1" applyAlignment="1">
      <alignment horizontal="center" vertical="center"/>
    </xf>
    <xf numFmtId="190" fontId="3" fillId="3" borderId="39" xfId="3" applyNumberFormat="1" applyFont="1" applyFill="1" applyBorder="1" applyAlignment="1">
      <alignment horizontal="center" vertical="center"/>
    </xf>
    <xf numFmtId="190" fontId="3" fillId="0" borderId="1" xfId="3" applyNumberFormat="1" applyFont="1" applyBorder="1" applyAlignment="1">
      <alignment horizontal="center" vertical="center"/>
    </xf>
    <xf numFmtId="190" fontId="2" fillId="0" borderId="38" xfId="3" applyNumberFormat="1" applyFont="1" applyFill="1" applyBorder="1" applyAlignment="1">
      <alignment horizontal="left" vertical="center" wrapText="1"/>
    </xf>
    <xf numFmtId="190" fontId="2" fillId="0" borderId="38" xfId="3" applyNumberFormat="1" applyFont="1" applyFill="1" applyBorder="1" applyAlignment="1">
      <alignment horizontal="center" vertical="center" wrapText="1"/>
    </xf>
    <xf numFmtId="190" fontId="2" fillId="0" borderId="1" xfId="3" applyNumberFormat="1" applyFont="1" applyFill="1" applyBorder="1" applyAlignment="1">
      <alignment horizontal="center" vertical="center" wrapText="1"/>
    </xf>
    <xf numFmtId="190" fontId="2" fillId="0" borderId="59" xfId="3" quotePrefix="1" applyNumberFormat="1" applyFont="1" applyFill="1" applyBorder="1" applyAlignment="1">
      <alignment horizontal="center" vertical="center"/>
    </xf>
    <xf numFmtId="190" fontId="2" fillId="0" borderId="36" xfId="3" applyNumberFormat="1" applyFont="1" applyFill="1" applyBorder="1" applyAlignment="1">
      <alignment horizontal="center" vertical="center"/>
    </xf>
    <xf numFmtId="190" fontId="3" fillId="3" borderId="20" xfId="3" applyNumberFormat="1" applyFont="1" applyFill="1" applyBorder="1" applyAlignment="1">
      <alignment horizontal="center" vertical="center"/>
    </xf>
    <xf numFmtId="190" fontId="3" fillId="3" borderId="22" xfId="3" applyNumberFormat="1" applyFont="1" applyFill="1" applyBorder="1" applyAlignment="1">
      <alignment horizontal="center" vertical="center"/>
    </xf>
    <xf numFmtId="190" fontId="3" fillId="3" borderId="38" xfId="3" applyNumberFormat="1" applyFont="1" applyFill="1" applyBorder="1" applyAlignment="1">
      <alignment horizontal="center" vertical="center"/>
    </xf>
    <xf numFmtId="190" fontId="3" fillId="3" borderId="45" xfId="3" applyNumberFormat="1" applyFont="1" applyFill="1" applyBorder="1" applyAlignment="1">
      <alignment horizontal="left" vertical="center" wrapText="1"/>
    </xf>
    <xf numFmtId="190" fontId="3" fillId="3" borderId="67" xfId="3" applyNumberFormat="1" applyFont="1" applyFill="1" applyBorder="1" applyAlignment="1">
      <alignment horizontal="left" vertical="center" wrapText="1"/>
    </xf>
    <xf numFmtId="190" fontId="3" fillId="3" borderId="63" xfId="3" applyNumberFormat="1" applyFont="1" applyFill="1" applyBorder="1" applyAlignment="1">
      <alignment horizontal="left" vertical="center" wrapText="1"/>
    </xf>
    <xf numFmtId="190" fontId="3" fillId="3" borderId="52" xfId="3" applyNumberFormat="1" applyFont="1" applyFill="1" applyBorder="1" applyAlignment="1">
      <alignment horizontal="left" vertical="center" wrapText="1"/>
    </xf>
    <xf numFmtId="190" fontId="4" fillId="4" borderId="9" xfId="3" applyNumberFormat="1" applyFont="1" applyFill="1" applyBorder="1" applyAlignment="1">
      <alignment horizontal="left" vertical="center" wrapText="1"/>
    </xf>
    <xf numFmtId="190" fontId="3" fillId="4" borderId="9" xfId="3" applyNumberFormat="1" applyFont="1" applyFill="1" applyBorder="1" applyAlignment="1">
      <alignment horizontal="left" vertical="center" wrapText="1"/>
    </xf>
    <xf numFmtId="190" fontId="3" fillId="4" borderId="29" xfId="3" applyNumberFormat="1" applyFont="1" applyFill="1" applyBorder="1" applyAlignment="1">
      <alignment horizontal="left" vertical="center" wrapText="1"/>
    </xf>
    <xf numFmtId="190" fontId="2" fillId="0" borderId="42" xfId="3" quotePrefix="1" applyNumberFormat="1" applyFont="1" applyBorder="1" applyAlignment="1">
      <alignment horizontal="center" vertical="center"/>
    </xf>
    <xf numFmtId="190" fontId="2" fillId="0" borderId="12" xfId="3" applyNumberFormat="1" applyFont="1" applyFill="1" applyBorder="1" applyAlignment="1">
      <alignment horizontal="left" vertical="center" wrapText="1"/>
    </xf>
    <xf numFmtId="190" fontId="3" fillId="3" borderId="31" xfId="3" applyNumberFormat="1" applyFont="1" applyFill="1" applyBorder="1" applyAlignment="1">
      <alignment horizontal="center" vertical="center"/>
    </xf>
    <xf numFmtId="190" fontId="3" fillId="4" borderId="26" xfId="3" applyNumberFormat="1" applyFont="1" applyFill="1" applyBorder="1" applyAlignment="1">
      <alignment horizontal="center" vertical="center"/>
    </xf>
    <xf numFmtId="190" fontId="2" fillId="0" borderId="59" xfId="3" quotePrefix="1" applyNumberFormat="1" applyFont="1" applyBorder="1" applyAlignment="1">
      <alignment horizontal="center" vertical="center"/>
    </xf>
    <xf numFmtId="190" fontId="4" fillId="4" borderId="69" xfId="3" applyNumberFormat="1" applyFont="1" applyFill="1" applyBorder="1" applyAlignment="1">
      <alignment horizontal="left" vertical="center" wrapText="1"/>
    </xf>
    <xf numFmtId="190" fontId="4" fillId="4" borderId="70" xfId="3" applyNumberFormat="1" applyFont="1" applyFill="1" applyBorder="1" applyAlignment="1">
      <alignment horizontal="left" vertical="center" wrapText="1"/>
    </xf>
    <xf numFmtId="190" fontId="4" fillId="4" borderId="0" xfId="3" applyNumberFormat="1" applyFont="1" applyFill="1" applyBorder="1" applyAlignment="1">
      <alignment horizontal="left" vertical="center" wrapText="1"/>
    </xf>
    <xf numFmtId="190" fontId="4" fillId="4" borderId="67" xfId="3" applyNumberFormat="1" applyFont="1" applyFill="1" applyBorder="1" applyAlignment="1">
      <alignment horizontal="left" vertical="center" wrapText="1"/>
    </xf>
    <xf numFmtId="190" fontId="4" fillId="4" borderId="52" xfId="3" applyNumberFormat="1" applyFont="1" applyFill="1" applyBorder="1" applyAlignment="1">
      <alignment horizontal="left" vertical="center" wrapText="1"/>
    </xf>
    <xf numFmtId="190" fontId="3" fillId="3" borderId="1" xfId="3" applyNumberFormat="1" applyFont="1" applyFill="1" applyBorder="1" applyAlignment="1">
      <alignment horizontal="center" vertical="center"/>
    </xf>
    <xf numFmtId="190" fontId="2" fillId="2" borderId="16" xfId="3" applyNumberFormat="1" applyFont="1" applyFill="1" applyBorder="1" applyAlignment="1">
      <alignment horizontal="center" vertical="center"/>
    </xf>
    <xf numFmtId="190" fontId="2" fillId="2" borderId="1" xfId="3" applyNumberFormat="1" applyFont="1" applyFill="1" applyBorder="1" applyAlignment="1">
      <alignment horizontal="center" vertical="center"/>
    </xf>
    <xf numFmtId="190" fontId="2" fillId="0" borderId="20" xfId="3" applyNumberFormat="1" applyFont="1" applyFill="1" applyBorder="1" applyAlignment="1">
      <alignment horizontal="center" vertical="center" wrapText="1"/>
    </xf>
    <xf numFmtId="190" fontId="2" fillId="0" borderId="43" xfId="3" quotePrefix="1" applyNumberFormat="1" applyFont="1" applyFill="1" applyBorder="1" applyAlignment="1">
      <alignment horizontal="center" vertical="center"/>
    </xf>
    <xf numFmtId="190" fontId="2" fillId="0" borderId="59" xfId="3" applyNumberFormat="1" applyFont="1" applyFill="1" applyBorder="1" applyAlignment="1">
      <alignment horizontal="center" vertical="center"/>
    </xf>
    <xf numFmtId="190" fontId="2" fillId="11" borderId="20" xfId="3" applyNumberFormat="1" applyFont="1" applyFill="1" applyBorder="1" applyAlignment="1">
      <alignment horizontal="left" vertical="center" wrapText="1"/>
    </xf>
    <xf numFmtId="190" fontId="2" fillId="11" borderId="22" xfId="3" applyNumberFormat="1" applyFont="1" applyFill="1" applyBorder="1" applyAlignment="1">
      <alignment horizontal="left" vertical="center" wrapText="1"/>
    </xf>
    <xf numFmtId="190" fontId="2" fillId="11" borderId="38" xfId="3" applyNumberFormat="1" applyFont="1" applyFill="1" applyBorder="1" applyAlignment="1">
      <alignment horizontal="left" vertical="center" wrapText="1"/>
    </xf>
    <xf numFmtId="190" fontId="3" fillId="0" borderId="24" xfId="3" applyNumberFormat="1" applyFont="1" applyFill="1" applyBorder="1" applyAlignment="1">
      <alignment horizontal="center" vertical="center"/>
    </xf>
    <xf numFmtId="190" fontId="3" fillId="0" borderId="60" xfId="3" applyNumberFormat="1" applyFont="1" applyFill="1" applyBorder="1" applyAlignment="1">
      <alignment horizontal="center" vertical="center"/>
    </xf>
    <xf numFmtId="190" fontId="3" fillId="0" borderId="47" xfId="3" applyNumberFormat="1" applyFont="1" applyFill="1" applyBorder="1" applyAlignment="1">
      <alignment horizontal="center" vertical="center"/>
    </xf>
    <xf numFmtId="190" fontId="2" fillId="0" borderId="16" xfId="3" applyNumberFormat="1" applyFont="1" applyFill="1" applyBorder="1" applyAlignment="1">
      <alignment horizontal="center" vertical="center"/>
    </xf>
    <xf numFmtId="190" fontId="3" fillId="4" borderId="14" xfId="3" applyNumberFormat="1" applyFont="1" applyFill="1" applyBorder="1" applyAlignment="1">
      <alignment horizontal="center" vertical="center"/>
    </xf>
    <xf numFmtId="190" fontId="3" fillId="0" borderId="14" xfId="3" applyNumberFormat="1" applyFont="1" applyBorder="1" applyAlignment="1">
      <alignment horizontal="center" vertical="center"/>
    </xf>
    <xf numFmtId="190" fontId="3" fillId="0" borderId="69" xfId="3" applyNumberFormat="1" applyFont="1" applyBorder="1" applyAlignment="1">
      <alignment horizontal="center" vertical="center"/>
    </xf>
    <xf numFmtId="190" fontId="2" fillId="0" borderId="22" xfId="3" applyNumberFormat="1" applyFont="1" applyFill="1" applyBorder="1" applyAlignment="1">
      <alignment vertical="center" wrapText="1"/>
    </xf>
    <xf numFmtId="190" fontId="2" fillId="0" borderId="38" xfId="3" applyNumberFormat="1" applyFont="1" applyFill="1" applyBorder="1" applyAlignment="1">
      <alignment vertical="center" wrapText="1"/>
    </xf>
    <xf numFmtId="190" fontId="2" fillId="0" borderId="51" xfId="3" applyNumberFormat="1" applyFont="1" applyFill="1" applyBorder="1" applyAlignment="1">
      <alignment horizontal="left" vertical="center" wrapText="1"/>
    </xf>
    <xf numFmtId="190" fontId="2" fillId="0" borderId="66" xfId="3" applyNumberFormat="1" applyFont="1" applyFill="1" applyBorder="1" applyAlignment="1">
      <alignment horizontal="left" vertical="center" wrapText="1"/>
    </xf>
    <xf numFmtId="190" fontId="3" fillId="2" borderId="68" xfId="3" applyNumberFormat="1" applyFont="1" applyFill="1" applyBorder="1" applyAlignment="1">
      <alignment horizontal="center" vertical="center"/>
    </xf>
    <xf numFmtId="190" fontId="3" fillId="2" borderId="50" xfId="3" applyNumberFormat="1" applyFont="1" applyFill="1" applyBorder="1" applyAlignment="1">
      <alignment horizontal="center" vertical="center"/>
    </xf>
    <xf numFmtId="190" fontId="3" fillId="0" borderId="19" xfId="3" applyNumberFormat="1" applyFont="1" applyFill="1" applyBorder="1" applyAlignment="1">
      <alignment horizontal="center" vertical="center"/>
    </xf>
    <xf numFmtId="190" fontId="3" fillId="0" borderId="39" xfId="3" applyNumberFormat="1" applyFont="1" applyFill="1" applyBorder="1" applyAlignment="1">
      <alignment horizontal="center" vertical="center"/>
    </xf>
    <xf numFmtId="190" fontId="2" fillId="11" borderId="25" xfId="3" applyNumberFormat="1" applyFont="1" applyFill="1" applyBorder="1" applyAlignment="1">
      <alignment horizontal="left" vertical="center" wrapText="1"/>
    </xf>
    <xf numFmtId="190" fontId="2" fillId="11" borderId="57" xfId="3" applyNumberFormat="1" applyFont="1" applyFill="1" applyBorder="1" applyAlignment="1">
      <alignment horizontal="left" vertical="center" wrapText="1"/>
    </xf>
    <xf numFmtId="190" fontId="2" fillId="11" borderId="35" xfId="3" applyNumberFormat="1" applyFont="1" applyFill="1" applyBorder="1" applyAlignment="1">
      <alignment horizontal="left" vertical="center" wrapText="1"/>
    </xf>
    <xf numFmtId="190" fontId="3" fillId="11" borderId="16" xfId="3" applyNumberFormat="1" applyFont="1" applyFill="1" applyBorder="1" applyAlignment="1">
      <alignment horizontal="center" vertical="center"/>
    </xf>
    <xf numFmtId="190" fontId="3" fillId="4" borderId="8" xfId="3" applyNumberFormat="1" applyFont="1" applyFill="1" applyBorder="1" applyAlignment="1">
      <alignment horizontal="center" vertical="center"/>
    </xf>
    <xf numFmtId="190" fontId="4" fillId="4" borderId="31" xfId="3" applyNumberFormat="1" applyFont="1" applyFill="1" applyBorder="1" applyAlignment="1">
      <alignment horizontal="left" vertical="center" wrapText="1"/>
    </xf>
    <xf numFmtId="190" fontId="4" fillId="4" borderId="26" xfId="3" applyNumberFormat="1" applyFont="1" applyFill="1" applyBorder="1" applyAlignment="1">
      <alignment horizontal="left" vertical="center" wrapText="1"/>
    </xf>
    <xf numFmtId="190" fontId="4" fillId="4" borderId="34" xfId="3" applyNumberFormat="1" applyFont="1" applyFill="1" applyBorder="1" applyAlignment="1">
      <alignment horizontal="left" vertical="center" wrapText="1"/>
    </xf>
    <xf numFmtId="190" fontId="3" fillId="11" borderId="22" xfId="3" applyNumberFormat="1" applyFont="1" applyFill="1" applyBorder="1" applyAlignment="1">
      <alignment horizontal="center" vertical="center"/>
    </xf>
    <xf numFmtId="190" fontId="3" fillId="11" borderId="26" xfId="3" applyNumberFormat="1" applyFont="1" applyFill="1" applyBorder="1" applyAlignment="1">
      <alignment horizontal="center" vertical="center"/>
    </xf>
    <xf numFmtId="190" fontId="24" fillId="0" borderId="20" xfId="3" applyNumberFormat="1" applyFont="1" applyFill="1" applyBorder="1" applyAlignment="1">
      <alignment horizontal="left" vertical="center" wrapText="1"/>
    </xf>
    <xf numFmtId="190" fontId="24" fillId="0" borderId="38" xfId="3" applyNumberFormat="1" applyFont="1" applyFill="1" applyBorder="1" applyAlignment="1">
      <alignment horizontal="left" vertical="center" wrapText="1"/>
    </xf>
    <xf numFmtId="190" fontId="2" fillId="16" borderId="1" xfId="3" applyNumberFormat="1" applyFont="1" applyFill="1" applyBorder="1" applyAlignment="1">
      <alignment horizontal="left" vertical="center" wrapText="1"/>
    </xf>
    <xf numFmtId="190" fontId="4" fillId="4" borderId="22" xfId="3" applyNumberFormat="1" applyFont="1" applyFill="1" applyBorder="1" applyAlignment="1">
      <alignment horizontal="left" vertical="center" wrapText="1"/>
    </xf>
    <xf numFmtId="190" fontId="4" fillId="4" borderId="29" xfId="3" applyNumberFormat="1" applyFont="1" applyFill="1" applyBorder="1" applyAlignment="1">
      <alignment horizontal="left" vertical="center" wrapText="1"/>
    </xf>
    <xf numFmtId="190" fontId="2" fillId="0" borderId="25" xfId="3" applyNumberFormat="1" applyFont="1" applyFill="1" applyBorder="1" applyAlignment="1">
      <alignment horizontal="center" vertical="center" wrapText="1"/>
    </xf>
    <xf numFmtId="190" fontId="2" fillId="0" borderId="35" xfId="3" applyNumberFormat="1" applyFont="1" applyFill="1" applyBorder="1" applyAlignment="1">
      <alignment horizontal="center" vertical="center" wrapText="1"/>
    </xf>
    <xf numFmtId="190" fontId="3" fillId="11" borderId="20" xfId="3" applyNumberFormat="1" applyFont="1" applyFill="1" applyBorder="1" applyAlignment="1">
      <alignment horizontal="center" vertical="center"/>
    </xf>
    <xf numFmtId="190" fontId="3" fillId="11" borderId="38" xfId="3" applyNumberFormat="1" applyFont="1" applyFill="1" applyBorder="1" applyAlignment="1">
      <alignment horizontal="center" vertical="center"/>
    </xf>
    <xf numFmtId="190" fontId="2" fillId="0" borderId="3" xfId="3" applyNumberFormat="1" applyFont="1" applyBorder="1" applyAlignment="1">
      <alignment horizontal="center" vertical="center"/>
    </xf>
    <xf numFmtId="190" fontId="3" fillId="9" borderId="28" xfId="3" applyNumberFormat="1" applyFont="1" applyFill="1" applyBorder="1" applyAlignment="1">
      <alignment horizontal="left" vertical="center" wrapText="1"/>
    </xf>
    <xf numFmtId="190" fontId="3" fillId="9" borderId="67" xfId="3" applyNumberFormat="1" applyFont="1" applyFill="1" applyBorder="1" applyAlignment="1">
      <alignment horizontal="left" vertical="center" wrapText="1"/>
    </xf>
    <xf numFmtId="190" fontId="3" fillId="9" borderId="52" xfId="3" applyNumberFormat="1" applyFont="1" applyFill="1" applyBorder="1" applyAlignment="1">
      <alignment horizontal="left" vertical="center" wrapText="1"/>
    </xf>
    <xf numFmtId="190" fontId="3" fillId="10" borderId="28" xfId="3" applyNumberFormat="1" applyFont="1" applyFill="1" applyBorder="1" applyAlignment="1">
      <alignment horizontal="left" vertical="center" wrapText="1"/>
    </xf>
    <xf numFmtId="190" fontId="3" fillId="10" borderId="67" xfId="3" applyNumberFormat="1" applyFont="1" applyFill="1" applyBorder="1" applyAlignment="1">
      <alignment horizontal="left" vertical="center" wrapText="1"/>
    </xf>
    <xf numFmtId="190" fontId="3" fillId="10" borderId="52" xfId="3" applyNumberFormat="1" applyFont="1" applyFill="1" applyBorder="1" applyAlignment="1">
      <alignment horizontal="left" vertical="center" wrapText="1"/>
    </xf>
    <xf numFmtId="190" fontId="4" fillId="4" borderId="8" xfId="3" applyNumberFormat="1" applyFont="1" applyFill="1" applyBorder="1" applyAlignment="1">
      <alignment horizontal="left" vertical="center" wrapText="1"/>
    </xf>
    <xf numFmtId="190" fontId="7" fillId="0" borderId="66" xfId="3" applyNumberFormat="1" applyFont="1" applyFill="1" applyBorder="1" applyAlignment="1">
      <alignment horizontal="center" vertical="center" textRotation="90" wrapText="1"/>
    </xf>
    <xf numFmtId="190" fontId="7" fillId="0" borderId="57" xfId="3" applyNumberFormat="1" applyFont="1" applyFill="1" applyBorder="1" applyAlignment="1">
      <alignment horizontal="center" vertical="center" textRotation="90" wrapText="1"/>
    </xf>
    <xf numFmtId="190" fontId="7" fillId="0" borderId="61" xfId="3" applyNumberFormat="1" applyFont="1" applyFill="1" applyBorder="1" applyAlignment="1">
      <alignment horizontal="center" vertical="center" textRotation="90" wrapText="1"/>
    </xf>
    <xf numFmtId="190" fontId="2" fillId="0" borderId="64" xfId="3" applyNumberFormat="1" applyFont="1" applyBorder="1" applyAlignment="1">
      <alignment horizontal="center" vertical="center" wrapText="1"/>
    </xf>
    <xf numFmtId="190" fontId="2" fillId="0" borderId="65" xfId="3" applyNumberFormat="1" applyFont="1" applyBorder="1" applyAlignment="1">
      <alignment horizontal="center" vertical="center" wrapText="1"/>
    </xf>
    <xf numFmtId="190" fontId="2" fillId="0" borderId="55" xfId="3" applyNumberFormat="1" applyFont="1" applyBorder="1" applyAlignment="1">
      <alignment horizontal="center" vertical="center" wrapText="1"/>
    </xf>
    <xf numFmtId="190" fontId="2" fillId="0" borderId="2" xfId="3" applyNumberFormat="1" applyFont="1" applyBorder="1" applyAlignment="1">
      <alignment horizontal="center" vertical="center" textRotation="90" wrapText="1"/>
    </xf>
    <xf numFmtId="190" fontId="2" fillId="0" borderId="4" xfId="3" applyNumberFormat="1" applyFont="1" applyBorder="1" applyAlignment="1">
      <alignment horizontal="center" vertical="center" textRotation="90" wrapText="1"/>
    </xf>
    <xf numFmtId="190" fontId="2" fillId="0" borderId="3" xfId="3" applyNumberFormat="1" applyFont="1" applyFill="1" applyBorder="1" applyAlignment="1">
      <alignment horizontal="center" vertical="center" textRotation="90" wrapText="1"/>
    </xf>
    <xf numFmtId="190" fontId="2" fillId="0" borderId="6" xfId="3" applyNumberFormat="1" applyFont="1" applyFill="1" applyBorder="1" applyAlignment="1">
      <alignment horizontal="center" vertical="center" textRotation="90" wrapText="1"/>
    </xf>
    <xf numFmtId="190" fontId="2" fillId="0" borderId="2" xfId="3" applyNumberFormat="1" applyFont="1" applyBorder="1" applyAlignment="1">
      <alignment horizontal="center" vertical="center"/>
    </xf>
    <xf numFmtId="190" fontId="2" fillId="0" borderId="4" xfId="3" applyNumberFormat="1" applyFont="1" applyBorder="1" applyAlignment="1">
      <alignment horizontal="center" vertical="center"/>
    </xf>
    <xf numFmtId="190" fontId="6" fillId="0" borderId="63" xfId="3" applyNumberFormat="1" applyFont="1" applyBorder="1" applyAlignment="1">
      <alignment horizontal="right" vertical="center"/>
    </xf>
    <xf numFmtId="190" fontId="2" fillId="0" borderId="13" xfId="3" applyNumberFormat="1" applyFont="1" applyBorder="1" applyAlignment="1">
      <alignment horizontal="center" vertical="center" textRotation="90" wrapText="1"/>
    </xf>
    <xf numFmtId="190" fontId="2" fillId="0" borderId="44" xfId="3" applyNumberFormat="1" applyFont="1" applyBorder="1" applyAlignment="1">
      <alignment horizontal="center" vertical="center" textRotation="90" wrapText="1"/>
    </xf>
    <xf numFmtId="190" fontId="2" fillId="0" borderId="31" xfId="3" applyNumberFormat="1" applyFont="1" applyBorder="1" applyAlignment="1">
      <alignment horizontal="center" vertical="center" textRotation="90" wrapText="1"/>
    </xf>
    <xf numFmtId="190" fontId="2" fillId="0" borderId="11" xfId="3" applyNumberFormat="1" applyFont="1" applyBorder="1" applyAlignment="1">
      <alignment horizontal="center" vertical="center" textRotation="90" wrapText="1"/>
    </xf>
    <xf numFmtId="190" fontId="2" fillId="0" borderId="1" xfId="3" applyNumberFormat="1" applyFont="1" applyBorder="1" applyAlignment="1">
      <alignment horizontal="center" vertical="center" textRotation="90" wrapText="1"/>
    </xf>
    <xf numFmtId="190" fontId="2" fillId="0" borderId="5" xfId="3" applyNumberFormat="1" applyFont="1" applyBorder="1" applyAlignment="1">
      <alignment horizontal="center" vertical="center" textRotation="90" wrapText="1"/>
    </xf>
    <xf numFmtId="190" fontId="2" fillId="0" borderId="14" xfId="3" applyNumberFormat="1" applyFont="1" applyBorder="1" applyAlignment="1">
      <alignment horizontal="center" vertical="center" wrapText="1"/>
    </xf>
    <xf numFmtId="190" fontId="2" fillId="0" borderId="14" xfId="3" applyNumberFormat="1" applyFont="1" applyBorder="1" applyAlignment="1">
      <alignment horizontal="center" vertical="center" textRotation="90" wrapText="1"/>
    </xf>
    <xf numFmtId="190" fontId="2" fillId="0" borderId="22" xfId="3" applyNumberFormat="1" applyFont="1" applyBorder="1" applyAlignment="1">
      <alignment horizontal="center" vertical="center" textRotation="90" wrapText="1"/>
    </xf>
    <xf numFmtId="190" fontId="2" fillId="0" borderId="26" xfId="3" applyNumberFormat="1" applyFont="1" applyBorder="1" applyAlignment="1">
      <alignment horizontal="center" vertical="center" textRotation="90" wrapText="1"/>
    </xf>
    <xf numFmtId="190" fontId="2" fillId="0" borderId="7" xfId="3" applyNumberFormat="1" applyFont="1" applyBorder="1" applyAlignment="1">
      <alignment horizontal="center" vertical="center" textRotation="90" wrapText="1"/>
    </xf>
    <xf numFmtId="190" fontId="2" fillId="0" borderId="3" xfId="3" applyNumberFormat="1" applyFont="1" applyBorder="1" applyAlignment="1">
      <alignment horizontal="center" vertical="center" textRotation="90" wrapText="1"/>
    </xf>
    <xf numFmtId="190" fontId="2" fillId="0" borderId="6" xfId="3" applyNumberFormat="1" applyFont="1" applyBorder="1" applyAlignment="1">
      <alignment horizontal="center" vertical="center" textRotation="90" wrapText="1"/>
    </xf>
    <xf numFmtId="190" fontId="2" fillId="0" borderId="0" xfId="3" applyNumberFormat="1" applyFont="1" applyAlignment="1">
      <alignment horizontal="left" vertical="center" wrapText="1"/>
    </xf>
    <xf numFmtId="190" fontId="5" fillId="0" borderId="0" xfId="3" applyNumberFormat="1" applyFont="1" applyAlignment="1">
      <alignment horizontal="right" vertical="center"/>
    </xf>
    <xf numFmtId="190" fontId="6" fillId="0" borderId="0" xfId="3" applyNumberFormat="1" applyFont="1" applyAlignment="1">
      <alignment horizontal="center" vertical="center"/>
    </xf>
    <xf numFmtId="190" fontId="9" fillId="0" borderId="0" xfId="3" applyNumberFormat="1" applyFont="1" applyAlignment="1">
      <alignment horizontal="center" vertical="top"/>
    </xf>
    <xf numFmtId="190" fontId="6" fillId="0" borderId="0" xfId="3" applyNumberFormat="1" applyFont="1" applyAlignment="1">
      <alignment horizontal="center" vertical="top" wrapText="1"/>
    </xf>
    <xf numFmtId="190" fontId="2" fillId="0" borderId="22" xfId="3" applyNumberFormat="1" applyFont="1" applyFill="1" applyBorder="1" applyAlignment="1">
      <alignment horizontal="left" vertical="top" wrapText="1"/>
    </xf>
    <xf numFmtId="190" fontId="2" fillId="0" borderId="62" xfId="3" quotePrefix="1" applyNumberFormat="1" applyFont="1" applyBorder="1" applyAlignment="1">
      <alignment horizontal="center" vertical="center"/>
    </xf>
    <xf numFmtId="190" fontId="2" fillId="0" borderId="22" xfId="3" applyNumberFormat="1" applyFont="1" applyFill="1" applyBorder="1" applyAlignment="1">
      <alignment horizontal="center" vertical="center" wrapText="1"/>
    </xf>
    <xf numFmtId="190" fontId="2" fillId="0" borderId="42" xfId="3" applyNumberFormat="1" applyFont="1" applyFill="1" applyBorder="1" applyAlignment="1">
      <alignment horizontal="center" vertical="center"/>
    </xf>
    <xf numFmtId="190" fontId="2" fillId="0" borderId="20" xfId="3" applyNumberFormat="1" applyFont="1" applyBorder="1" applyAlignment="1">
      <alignment horizontal="center" vertical="center"/>
    </xf>
    <xf numFmtId="190" fontId="2" fillId="0" borderId="22" xfId="3" applyNumberFormat="1" applyFont="1" applyBorder="1" applyAlignment="1">
      <alignment horizontal="center" vertical="center"/>
    </xf>
    <xf numFmtId="190" fontId="21" fillId="0" borderId="16" xfId="3" applyNumberFormat="1" applyFont="1" applyFill="1" applyBorder="1" applyAlignment="1">
      <alignment horizontal="center" vertical="center"/>
    </xf>
    <xf numFmtId="190" fontId="21" fillId="0" borderId="1" xfId="3" applyNumberFormat="1" applyFont="1" applyFill="1" applyBorder="1" applyAlignment="1">
      <alignment horizontal="center" vertical="center"/>
    </xf>
    <xf numFmtId="190" fontId="2" fillId="0" borderId="41" xfId="3" applyNumberFormat="1" applyFont="1" applyFill="1" applyBorder="1" applyAlignment="1">
      <alignment horizontal="center" vertical="center"/>
    </xf>
    <xf numFmtId="190" fontId="2" fillId="0" borderId="53" xfId="3" applyNumberFormat="1" applyFont="1" applyFill="1" applyBorder="1" applyAlignment="1">
      <alignment horizontal="center" vertical="center"/>
    </xf>
    <xf numFmtId="190" fontId="25" fillId="0" borderId="20" xfId="3" applyNumberFormat="1" applyFont="1" applyFill="1" applyBorder="1" applyAlignment="1">
      <alignment horizontal="center" vertical="center"/>
    </xf>
    <xf numFmtId="190" fontId="25" fillId="0" borderId="22" xfId="3" applyNumberFormat="1" applyFont="1" applyFill="1" applyBorder="1" applyAlignment="1">
      <alignment horizontal="center" vertical="center"/>
    </xf>
    <xf numFmtId="190" fontId="25" fillId="0" borderId="38" xfId="3" applyNumberFormat="1" applyFont="1" applyFill="1" applyBorder="1" applyAlignment="1">
      <alignment horizontal="center" vertical="center"/>
    </xf>
    <xf numFmtId="190" fontId="24" fillId="0" borderId="20" xfId="3" applyNumberFormat="1" applyFont="1" applyFill="1" applyBorder="1" applyAlignment="1">
      <alignment horizontal="center" vertical="center" wrapText="1"/>
    </xf>
    <xf numFmtId="190" fontId="24" fillId="0" borderId="22" xfId="3" applyNumberFormat="1" applyFont="1" applyFill="1" applyBorder="1" applyAlignment="1">
      <alignment horizontal="center" vertical="center" wrapText="1"/>
    </xf>
    <xf numFmtId="190" fontId="24" fillId="0" borderId="38" xfId="3" applyNumberFormat="1" applyFont="1" applyFill="1" applyBorder="1" applyAlignment="1">
      <alignment horizontal="center" vertical="center" wrapText="1"/>
    </xf>
    <xf numFmtId="190" fontId="2" fillId="0" borderId="42" xfId="3" quotePrefix="1" applyNumberFormat="1" applyFont="1" applyFill="1" applyBorder="1" applyAlignment="1">
      <alignment horizontal="center" vertical="center"/>
    </xf>
    <xf numFmtId="190" fontId="3" fillId="2" borderId="25" xfId="3" applyNumberFormat="1" applyFont="1" applyFill="1" applyBorder="1" applyAlignment="1">
      <alignment horizontal="center" vertical="center"/>
    </xf>
    <xf numFmtId="190" fontId="3" fillId="2" borderId="35" xfId="3" applyNumberFormat="1" applyFont="1" applyFill="1" applyBorder="1" applyAlignment="1">
      <alignment horizontal="center" vertical="center"/>
    </xf>
    <xf numFmtId="190" fontId="25" fillId="0" borderId="19" xfId="3" applyNumberFormat="1" applyFont="1" applyFill="1" applyBorder="1" applyAlignment="1">
      <alignment horizontal="center" vertical="center"/>
    </xf>
    <xf numFmtId="190" fontId="25" fillId="0" borderId="44" xfId="3" applyNumberFormat="1" applyFont="1" applyFill="1" applyBorder="1" applyAlignment="1">
      <alignment horizontal="center" vertical="center"/>
    </xf>
    <xf numFmtId="190" fontId="25" fillId="0" borderId="39" xfId="3" applyNumberFormat="1" applyFont="1" applyFill="1" applyBorder="1" applyAlignment="1">
      <alignment horizontal="center" vertical="center"/>
    </xf>
    <xf numFmtId="190" fontId="24" fillId="0" borderId="43" xfId="3" applyNumberFormat="1" applyFont="1" applyFill="1" applyBorder="1" applyAlignment="1">
      <alignment horizontal="center" vertical="center"/>
    </xf>
    <xf numFmtId="190" fontId="24" fillId="0" borderId="42" xfId="3" applyNumberFormat="1" applyFont="1" applyFill="1" applyBorder="1" applyAlignment="1">
      <alignment horizontal="center" vertical="center"/>
    </xf>
    <xf numFmtId="190" fontId="24" fillId="0" borderId="59" xfId="3" applyNumberFormat="1" applyFont="1" applyFill="1" applyBorder="1" applyAlignment="1">
      <alignment horizontal="center" vertical="center"/>
    </xf>
    <xf numFmtId="190" fontId="24" fillId="0" borderId="21" xfId="3" applyNumberFormat="1" applyFont="1" applyFill="1" applyBorder="1" applyAlignment="1">
      <alignment horizontal="center" vertical="center"/>
    </xf>
    <xf numFmtId="190" fontId="24" fillId="0" borderId="58" xfId="3" applyNumberFormat="1" applyFont="1" applyFill="1" applyBorder="1" applyAlignment="1">
      <alignment horizontal="center" vertical="center"/>
    </xf>
    <xf numFmtId="190" fontId="24" fillId="0" borderId="23" xfId="3" applyNumberFormat="1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173" fontId="20" fillId="0" borderId="28" xfId="0" applyNumberFormat="1" applyFont="1" applyBorder="1" applyAlignment="1">
      <alignment horizontal="center" vertical="center" wrapText="1"/>
    </xf>
    <xf numFmtId="173" fontId="20" fillId="0" borderId="30" xfId="0" applyNumberFormat="1" applyFont="1" applyBorder="1" applyAlignment="1">
      <alignment horizontal="center" vertical="center" wrapText="1"/>
    </xf>
    <xf numFmtId="173" fontId="20" fillId="0" borderId="0" xfId="0" applyNumberFormat="1" applyFont="1" applyAlignment="1">
      <alignment horizontal="center" vertical="center" wrapText="1"/>
    </xf>
    <xf numFmtId="173" fontId="14" fillId="0" borderId="0" xfId="0" applyNumberFormat="1" applyFont="1" applyAlignment="1">
      <alignment horizontal="left" vertical="center" wrapText="1"/>
    </xf>
  </cellXfs>
  <cellStyles count="5">
    <cellStyle name="Comma 2" xfId="1"/>
    <cellStyle name="Įprastas" xfId="0" builtinId="0"/>
    <cellStyle name="Įprastas 2" xfId="2"/>
    <cellStyle name="Kablelis" xfId="3" builtinId="3"/>
    <cellStyle name="Normal_6 programa" xfId="4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1"/>
  <sheetViews>
    <sheetView tabSelected="1" zoomScaleNormal="100" workbookViewId="0">
      <selection activeCell="F20" sqref="F20"/>
    </sheetView>
  </sheetViews>
  <sheetFormatPr defaultRowHeight="12.75" x14ac:dyDescent="0.2"/>
  <cols>
    <col min="1" max="1" width="44.28515625" style="213" customWidth="1"/>
    <col min="2" max="2" width="14.28515625" style="213" hidden="1" customWidth="1"/>
    <col min="3" max="3" width="14.28515625" style="213" customWidth="1"/>
    <col min="4" max="4" width="17.5703125" style="213" customWidth="1"/>
    <col min="5" max="5" width="19.28515625" style="213" customWidth="1"/>
    <col min="6" max="6" width="18.85546875" style="213" customWidth="1"/>
    <col min="7" max="7" width="14.7109375" style="213" customWidth="1"/>
    <col min="8" max="8" width="15" style="213" customWidth="1"/>
    <col min="9" max="16384" width="9.140625" style="213"/>
  </cols>
  <sheetData>
    <row r="1" spans="1:9" ht="30.75" customHeight="1" x14ac:dyDescent="0.2">
      <c r="A1" s="335" t="str">
        <f>'1 lentele'!A5:U5</f>
        <v>INVESTICIJŲ PROGRAMOS NR. 3</v>
      </c>
      <c r="B1" s="335"/>
      <c r="C1" s="335"/>
      <c r="D1" s="336"/>
      <c r="E1" s="336"/>
      <c r="F1" s="336"/>
      <c r="G1" s="336"/>
      <c r="H1" s="336"/>
    </row>
    <row r="2" spans="1:9" x14ac:dyDescent="0.2">
      <c r="A2" s="336" t="s">
        <v>36</v>
      </c>
      <c r="B2" s="336"/>
      <c r="C2" s="336"/>
      <c r="D2" s="336"/>
      <c r="E2" s="336"/>
      <c r="F2" s="336"/>
      <c r="G2" s="336"/>
      <c r="H2" s="336"/>
    </row>
    <row r="4" spans="1:9" ht="13.5" thickBot="1" x14ac:dyDescent="0.25">
      <c r="A4" s="337" t="s">
        <v>223</v>
      </c>
      <c r="B4" s="337"/>
      <c r="C4" s="337"/>
      <c r="D4" s="337"/>
      <c r="E4" s="337"/>
      <c r="F4" s="337"/>
      <c r="G4" s="337"/>
      <c r="H4" s="337"/>
    </row>
    <row r="5" spans="1:9" ht="13.5" hidden="1" thickBot="1" x14ac:dyDescent="0.25"/>
    <row r="6" spans="1:9" ht="13.5" hidden="1" thickBot="1" x14ac:dyDescent="0.25"/>
    <row r="7" spans="1:9" ht="20.25" customHeight="1" x14ac:dyDescent="0.2">
      <c r="A7" s="329" t="s">
        <v>37</v>
      </c>
      <c r="B7" s="338" t="s">
        <v>161</v>
      </c>
      <c r="C7" s="340" t="s">
        <v>338</v>
      </c>
      <c r="D7" s="331" t="s">
        <v>332</v>
      </c>
      <c r="E7" s="331"/>
      <c r="F7" s="331"/>
      <c r="G7" s="331" t="s">
        <v>121</v>
      </c>
      <c r="H7" s="333" t="s">
        <v>333</v>
      </c>
      <c r="I7" s="214"/>
    </row>
    <row r="8" spans="1:9" ht="41.25" customHeight="1" thickBot="1" x14ac:dyDescent="0.25">
      <c r="A8" s="330"/>
      <c r="B8" s="339"/>
      <c r="C8" s="341"/>
      <c r="D8" s="215" t="s">
        <v>339</v>
      </c>
      <c r="E8" s="215" t="s">
        <v>162</v>
      </c>
      <c r="F8" s="215" t="s">
        <v>222</v>
      </c>
      <c r="G8" s="332"/>
      <c r="H8" s="334"/>
      <c r="I8" s="214"/>
    </row>
    <row r="9" spans="1:9" ht="15.75" thickBot="1" x14ac:dyDescent="0.25">
      <c r="A9" s="216" t="s">
        <v>38</v>
      </c>
      <c r="B9" s="217"/>
      <c r="C9" s="217">
        <f>ROUND(36004100/3.4528,0)</f>
        <v>10427508</v>
      </c>
      <c r="D9" s="207">
        <f>SUM(D10,D12)</f>
        <v>10427508</v>
      </c>
      <c r="E9" s="207">
        <f>SUM(E10,E12)</f>
        <v>-2289014.84</v>
      </c>
      <c r="F9" s="207">
        <f>SUM(F10,F12)</f>
        <v>8138493.1600000001</v>
      </c>
      <c r="G9" s="207">
        <f>G13</f>
        <v>20035108.475106582</v>
      </c>
      <c r="H9" s="218">
        <f>H13</f>
        <v>18695598.315106582</v>
      </c>
      <c r="I9" s="214"/>
    </row>
    <row r="10" spans="1:9" ht="15" x14ac:dyDescent="0.2">
      <c r="A10" s="219" t="s">
        <v>39</v>
      </c>
      <c r="B10" s="220"/>
      <c r="C10" s="220">
        <f>ROUND(90000/3.4528,0)</f>
        <v>26066</v>
      </c>
      <c r="D10" s="209">
        <f t="shared" ref="D10:D15" si="0">C10</f>
        <v>26066</v>
      </c>
      <c r="E10" s="209">
        <f>F10-C10</f>
        <v>86093</v>
      </c>
      <c r="F10" s="209">
        <f>'1 lentele'!M286</f>
        <v>112159</v>
      </c>
      <c r="G10" s="209">
        <v>0</v>
      </c>
      <c r="H10" s="221">
        <v>0</v>
      </c>
      <c r="I10" s="214"/>
    </row>
    <row r="11" spans="1:9" ht="15" x14ac:dyDescent="0.2">
      <c r="A11" s="222" t="s">
        <v>40</v>
      </c>
      <c r="B11" s="223"/>
      <c r="C11" s="223">
        <v>0</v>
      </c>
      <c r="D11" s="209">
        <f t="shared" si="0"/>
        <v>0</v>
      </c>
      <c r="E11" s="209">
        <f>F11-C11</f>
        <v>0</v>
      </c>
      <c r="F11" s="210">
        <f>'1 lentele'!N286</f>
        <v>0</v>
      </c>
      <c r="G11" s="210">
        <v>0</v>
      </c>
      <c r="H11" s="212"/>
      <c r="I11" s="214"/>
    </row>
    <row r="12" spans="1:9" ht="26.25" thickBot="1" x14ac:dyDescent="0.25">
      <c r="A12" s="224" t="s">
        <v>41</v>
      </c>
      <c r="B12" s="225"/>
      <c r="C12" s="211">
        <f>ROUND(35914100/3.4528,0)</f>
        <v>10401442</v>
      </c>
      <c r="D12" s="209">
        <f t="shared" si="0"/>
        <v>10401442</v>
      </c>
      <c r="E12" s="209">
        <f>F12-C12</f>
        <v>-2375107.84</v>
      </c>
      <c r="F12" s="211">
        <f>'1 lentele'!O286</f>
        <v>8026334.1600000001</v>
      </c>
      <c r="G12" s="211">
        <v>0</v>
      </c>
      <c r="H12" s="226">
        <v>0</v>
      </c>
      <c r="I12" s="214"/>
    </row>
    <row r="13" spans="1:9" ht="15.75" thickBot="1" x14ac:dyDescent="0.25">
      <c r="A13" s="241" t="s">
        <v>42</v>
      </c>
      <c r="B13" s="242"/>
      <c r="C13" s="242">
        <f>ROUND(36004100/3.4528,0)</f>
        <v>10427508</v>
      </c>
      <c r="D13" s="243">
        <f t="shared" si="0"/>
        <v>10427508</v>
      </c>
      <c r="E13" s="243">
        <f>E14+E35</f>
        <v>-2289014.84</v>
      </c>
      <c r="F13" s="243">
        <f>F14+F35</f>
        <v>8138493.1600000001</v>
      </c>
      <c r="G13" s="243">
        <f>G14+G35</f>
        <v>20035108.475106582</v>
      </c>
      <c r="H13" s="244">
        <f>H14+H35</f>
        <v>18695598.315106582</v>
      </c>
      <c r="I13" s="214"/>
    </row>
    <row r="14" spans="1:9" ht="15" x14ac:dyDescent="0.2">
      <c r="A14" s="227" t="s">
        <v>43</v>
      </c>
      <c r="B14" s="228"/>
      <c r="C14" s="228">
        <f>ROUND(9001500/3.4528,0)</f>
        <v>2607015</v>
      </c>
      <c r="D14" s="229">
        <f t="shared" si="0"/>
        <v>2607015</v>
      </c>
      <c r="E14" s="229">
        <f>E15+E24+E25+E26+E27+E28+E29+E34</f>
        <v>374305</v>
      </c>
      <c r="F14" s="229">
        <f>F15+F24+F25+F26+F27+F28+F29+F34</f>
        <v>2981320</v>
      </c>
      <c r="G14" s="229">
        <f>G15+G24+G25+G26+G27+G28+G29+G34</f>
        <v>6591816.0101946248</v>
      </c>
      <c r="H14" s="230">
        <f>H15+H24+H25+H26+H27+H28+H29+H34</f>
        <v>8186719.0101946248</v>
      </c>
      <c r="I14" s="214"/>
    </row>
    <row r="15" spans="1:9" ht="15" x14ac:dyDescent="0.2">
      <c r="A15" s="231" t="s">
        <v>44</v>
      </c>
      <c r="B15" s="232"/>
      <c r="C15" s="232">
        <f>ROUND(1920000/3.4528,0)</f>
        <v>556070</v>
      </c>
      <c r="D15" s="232">
        <f t="shared" si="0"/>
        <v>556070</v>
      </c>
      <c r="E15" s="232">
        <f>SUM(E17:E23)</f>
        <v>-71535</v>
      </c>
      <c r="F15" s="232">
        <f>SUM(F17:F23)</f>
        <v>484535</v>
      </c>
      <c r="G15" s="232">
        <f>SUM(G17:G23)</f>
        <v>4777540</v>
      </c>
      <c r="H15" s="253">
        <f>SUM(H17:H23)</f>
        <v>7147730</v>
      </c>
      <c r="I15" s="214"/>
    </row>
    <row r="16" spans="1:9" ht="15" x14ac:dyDescent="0.2">
      <c r="A16" s="231" t="s">
        <v>45</v>
      </c>
      <c r="B16" s="232"/>
      <c r="C16" s="232">
        <v>0</v>
      </c>
      <c r="D16" s="232">
        <f t="shared" ref="D16:D34" si="1">C16</f>
        <v>0</v>
      </c>
      <c r="E16" s="210">
        <f>F16-C16</f>
        <v>0</v>
      </c>
      <c r="F16" s="210">
        <v>0</v>
      </c>
      <c r="G16" s="210">
        <v>0</v>
      </c>
      <c r="H16" s="212"/>
      <c r="I16" s="214"/>
    </row>
    <row r="17" spans="1:9" ht="25.5" x14ac:dyDescent="0.2">
      <c r="A17" s="231" t="s">
        <v>122</v>
      </c>
      <c r="B17" s="232"/>
      <c r="C17" s="232">
        <v>0</v>
      </c>
      <c r="D17" s="232">
        <f t="shared" si="1"/>
        <v>0</v>
      </c>
      <c r="E17" s="210">
        <f t="shared" ref="E17:E23" si="2">F17-C17</f>
        <v>0</v>
      </c>
      <c r="F17" s="210">
        <f>'1 lentele'!L266</f>
        <v>0</v>
      </c>
      <c r="G17" s="210">
        <v>0</v>
      </c>
      <c r="H17" s="212">
        <v>0</v>
      </c>
      <c r="I17" s="214"/>
    </row>
    <row r="18" spans="1:9" ht="15" x14ac:dyDescent="0.2">
      <c r="A18" s="231" t="s">
        <v>123</v>
      </c>
      <c r="B18" s="232"/>
      <c r="C18" s="232">
        <v>0</v>
      </c>
      <c r="D18" s="232">
        <f t="shared" si="1"/>
        <v>0</v>
      </c>
      <c r="E18" s="210">
        <f t="shared" si="2"/>
        <v>0</v>
      </c>
      <c r="F18" s="210">
        <v>0</v>
      </c>
      <c r="G18" s="210">
        <v>0</v>
      </c>
      <c r="H18" s="212">
        <v>0</v>
      </c>
      <c r="I18" s="214"/>
    </row>
    <row r="19" spans="1:9" ht="25.5" x14ac:dyDescent="0.2">
      <c r="A19" s="231" t="s">
        <v>124</v>
      </c>
      <c r="B19" s="232"/>
      <c r="C19" s="232">
        <v>0</v>
      </c>
      <c r="D19" s="232">
        <f t="shared" si="1"/>
        <v>0</v>
      </c>
      <c r="E19" s="210">
        <f t="shared" si="2"/>
        <v>0</v>
      </c>
      <c r="F19" s="210">
        <v>0</v>
      </c>
      <c r="G19" s="210">
        <v>0</v>
      </c>
      <c r="H19" s="212">
        <v>0</v>
      </c>
      <c r="I19" s="214"/>
    </row>
    <row r="20" spans="1:9" ht="15" x14ac:dyDescent="0.2">
      <c r="A20" s="231" t="s">
        <v>125</v>
      </c>
      <c r="B20" s="232"/>
      <c r="C20" s="232">
        <f>ROUND(1920000/3.4528,0)</f>
        <v>556070</v>
      </c>
      <c r="D20" s="232">
        <f t="shared" si="1"/>
        <v>556070</v>
      </c>
      <c r="E20" s="210">
        <f t="shared" si="2"/>
        <v>-71535</v>
      </c>
      <c r="F20" s="210">
        <f>'1 lentele'!L284</f>
        <v>484535</v>
      </c>
      <c r="G20" s="210">
        <f>'1 lentele'!P284</f>
        <v>4777540</v>
      </c>
      <c r="H20" s="212">
        <f>'1 lentele'!Q284</f>
        <v>7147730</v>
      </c>
      <c r="I20" s="214"/>
    </row>
    <row r="21" spans="1:9" ht="15" x14ac:dyDescent="0.2">
      <c r="A21" s="231" t="s">
        <v>126</v>
      </c>
      <c r="B21" s="232"/>
      <c r="C21" s="232">
        <v>0</v>
      </c>
      <c r="D21" s="232">
        <f t="shared" si="1"/>
        <v>0</v>
      </c>
      <c r="E21" s="210">
        <f t="shared" si="2"/>
        <v>0</v>
      </c>
      <c r="F21" s="210">
        <v>0</v>
      </c>
      <c r="G21" s="210">
        <v>0</v>
      </c>
      <c r="H21" s="212">
        <v>0</v>
      </c>
      <c r="I21" s="214"/>
    </row>
    <row r="22" spans="1:9" ht="15" x14ac:dyDescent="0.2">
      <c r="A22" s="231" t="s">
        <v>127</v>
      </c>
      <c r="B22" s="232"/>
      <c r="C22" s="232">
        <v>0</v>
      </c>
      <c r="D22" s="232">
        <f t="shared" si="1"/>
        <v>0</v>
      </c>
      <c r="E22" s="210">
        <f t="shared" si="2"/>
        <v>0</v>
      </c>
      <c r="F22" s="210">
        <v>0</v>
      </c>
      <c r="G22" s="210">
        <v>0</v>
      </c>
      <c r="H22" s="212">
        <v>0</v>
      </c>
      <c r="I22" s="214"/>
    </row>
    <row r="23" spans="1:9" ht="25.5" x14ac:dyDescent="0.2">
      <c r="A23" s="231" t="s">
        <v>128</v>
      </c>
      <c r="B23" s="232"/>
      <c r="C23" s="232">
        <v>0</v>
      </c>
      <c r="D23" s="232">
        <f t="shared" si="1"/>
        <v>0</v>
      </c>
      <c r="E23" s="210">
        <f t="shared" si="2"/>
        <v>0</v>
      </c>
      <c r="F23" s="210">
        <v>0</v>
      </c>
      <c r="G23" s="210">
        <v>0</v>
      </c>
      <c r="H23" s="212">
        <v>0</v>
      </c>
      <c r="I23" s="214"/>
    </row>
    <row r="24" spans="1:9" ht="25.5" x14ac:dyDescent="0.2">
      <c r="A24" s="231" t="s">
        <v>129</v>
      </c>
      <c r="B24" s="232"/>
      <c r="C24" s="232">
        <f>ROUND(180000/3.4528,0)</f>
        <v>52132</v>
      </c>
      <c r="D24" s="232">
        <f t="shared" si="1"/>
        <v>52132</v>
      </c>
      <c r="E24" s="210">
        <f>F24-C24</f>
        <v>-17132</v>
      </c>
      <c r="F24" s="210">
        <f>'1 lentele'!L265</f>
        <v>35000</v>
      </c>
      <c r="G24" s="210">
        <f>'1 lentele'!P265</f>
        <v>57924</v>
      </c>
      <c r="H24" s="212">
        <f>'1 lentele'!Q265</f>
        <v>57924</v>
      </c>
      <c r="I24" s="214"/>
    </row>
    <row r="25" spans="1:9" ht="15" x14ac:dyDescent="0.2">
      <c r="A25" s="222" t="s">
        <v>130</v>
      </c>
      <c r="B25" s="223"/>
      <c r="C25" s="223">
        <f>ROUND(6200500/3.4528,0)</f>
        <v>1795789</v>
      </c>
      <c r="D25" s="232">
        <f t="shared" si="1"/>
        <v>1795789</v>
      </c>
      <c r="E25" s="210">
        <f>F25-C25</f>
        <v>89723</v>
      </c>
      <c r="F25" s="210">
        <f>'1 lentele'!L282</f>
        <v>1885512</v>
      </c>
      <c r="G25" s="210">
        <f>'1 lentele'!P282</f>
        <v>1756352.0101946248</v>
      </c>
      <c r="H25" s="212">
        <f>'1 lentele'!Q282</f>
        <v>981065.01019462466</v>
      </c>
      <c r="I25" s="214"/>
    </row>
    <row r="26" spans="1:9" ht="15" x14ac:dyDescent="0.2">
      <c r="A26" s="222" t="s">
        <v>131</v>
      </c>
      <c r="B26" s="223"/>
      <c r="C26" s="223">
        <v>0</v>
      </c>
      <c r="D26" s="232">
        <f t="shared" si="1"/>
        <v>0</v>
      </c>
      <c r="E26" s="210">
        <f>F26-C26</f>
        <v>0</v>
      </c>
      <c r="F26" s="210">
        <v>0</v>
      </c>
      <c r="G26" s="210">
        <v>0</v>
      </c>
      <c r="H26" s="212">
        <v>0</v>
      </c>
      <c r="I26" s="214"/>
    </row>
    <row r="27" spans="1:9" ht="25.5" x14ac:dyDescent="0.2">
      <c r="A27" s="222" t="s">
        <v>132</v>
      </c>
      <c r="B27" s="223"/>
      <c r="C27" s="223">
        <v>0</v>
      </c>
      <c r="D27" s="232">
        <f t="shared" si="1"/>
        <v>0</v>
      </c>
      <c r="E27" s="210">
        <f>F27-C27</f>
        <v>0</v>
      </c>
      <c r="F27" s="210">
        <v>0</v>
      </c>
      <c r="G27" s="210">
        <v>0</v>
      </c>
      <c r="H27" s="212">
        <v>0</v>
      </c>
      <c r="I27" s="214"/>
    </row>
    <row r="28" spans="1:9" ht="25.5" x14ac:dyDescent="0.2">
      <c r="A28" s="222" t="s">
        <v>133</v>
      </c>
      <c r="B28" s="223"/>
      <c r="C28" s="223">
        <f>ROUND(701000/3.4528,0)</f>
        <v>203024</v>
      </c>
      <c r="D28" s="232">
        <f t="shared" si="1"/>
        <v>203024</v>
      </c>
      <c r="E28" s="210">
        <f>F28-C28</f>
        <v>-121860</v>
      </c>
      <c r="F28" s="210">
        <f>'1 lentele'!L275</f>
        <v>81164</v>
      </c>
      <c r="G28" s="210">
        <f>'1 lentele'!P275</f>
        <v>0</v>
      </c>
      <c r="H28" s="212">
        <v>0</v>
      </c>
      <c r="I28" s="214"/>
    </row>
    <row r="29" spans="1:9" ht="15" x14ac:dyDescent="0.2">
      <c r="A29" s="222" t="s">
        <v>134</v>
      </c>
      <c r="B29" s="223"/>
      <c r="C29" s="210">
        <f>SUM(C30:C33)</f>
        <v>0</v>
      </c>
      <c r="D29" s="232">
        <f t="shared" si="1"/>
        <v>0</v>
      </c>
      <c r="E29" s="210">
        <f>SUM(E30:E33)</f>
        <v>495109</v>
      </c>
      <c r="F29" s="210">
        <f>SUM(F30:F33)</f>
        <v>495109</v>
      </c>
      <c r="G29" s="210">
        <f>SUM(G30:G33)</f>
        <v>0</v>
      </c>
      <c r="H29" s="212">
        <f>SUM(H30:H33)</f>
        <v>0</v>
      </c>
      <c r="I29" s="214"/>
    </row>
    <row r="30" spans="1:9" ht="15" x14ac:dyDescent="0.2">
      <c r="A30" s="222" t="s">
        <v>135</v>
      </c>
      <c r="B30" s="223"/>
      <c r="C30" s="223">
        <v>0</v>
      </c>
      <c r="D30" s="232">
        <f t="shared" si="1"/>
        <v>0</v>
      </c>
      <c r="E30" s="210">
        <f>F30-C30</f>
        <v>495109</v>
      </c>
      <c r="F30" s="210">
        <f>'1 lentele'!L276</f>
        <v>495109</v>
      </c>
      <c r="G30" s="210">
        <f>'1 lentele'!P276</f>
        <v>0</v>
      </c>
      <c r="H30" s="212">
        <f>'1 lentele'!Q276</f>
        <v>0</v>
      </c>
      <c r="I30" s="214"/>
    </row>
    <row r="31" spans="1:9" ht="15" x14ac:dyDescent="0.2">
      <c r="A31" s="222" t="s">
        <v>136</v>
      </c>
      <c r="B31" s="223"/>
      <c r="C31" s="223">
        <v>0</v>
      </c>
      <c r="D31" s="232">
        <f t="shared" si="1"/>
        <v>0</v>
      </c>
      <c r="E31" s="210">
        <f>F31-C31</f>
        <v>0</v>
      </c>
      <c r="F31" s="210">
        <v>0</v>
      </c>
      <c r="G31" s="210">
        <v>0</v>
      </c>
      <c r="H31" s="212">
        <v>0</v>
      </c>
      <c r="I31" s="214"/>
    </row>
    <row r="32" spans="1:9" ht="38.25" x14ac:dyDescent="0.2">
      <c r="A32" s="222" t="s">
        <v>137</v>
      </c>
      <c r="B32" s="223"/>
      <c r="C32" s="223">
        <v>0</v>
      </c>
      <c r="D32" s="232">
        <f t="shared" si="1"/>
        <v>0</v>
      </c>
      <c r="E32" s="210">
        <f>F32-C32</f>
        <v>0</v>
      </c>
      <c r="F32" s="210">
        <v>0</v>
      </c>
      <c r="G32" s="210">
        <v>0</v>
      </c>
      <c r="H32" s="212">
        <v>0</v>
      </c>
      <c r="I32" s="214"/>
    </row>
    <row r="33" spans="1:9" ht="25.5" x14ac:dyDescent="0.2">
      <c r="A33" s="222" t="s">
        <v>138</v>
      </c>
      <c r="B33" s="223"/>
      <c r="C33" s="223">
        <v>0</v>
      </c>
      <c r="D33" s="232">
        <f t="shared" si="1"/>
        <v>0</v>
      </c>
      <c r="E33" s="210">
        <f>F33-C33</f>
        <v>0</v>
      </c>
      <c r="F33" s="210">
        <v>0</v>
      </c>
      <c r="G33" s="210">
        <v>0</v>
      </c>
      <c r="H33" s="212">
        <v>0</v>
      </c>
      <c r="I33" s="214"/>
    </row>
    <row r="34" spans="1:9" ht="38.25" x14ac:dyDescent="0.2">
      <c r="A34" s="222" t="s">
        <v>139</v>
      </c>
      <c r="B34" s="223"/>
      <c r="C34" s="223">
        <v>0</v>
      </c>
      <c r="D34" s="232">
        <f t="shared" si="1"/>
        <v>0</v>
      </c>
      <c r="E34" s="210">
        <f>F34-C34</f>
        <v>0</v>
      </c>
      <c r="F34" s="210">
        <v>0</v>
      </c>
      <c r="G34" s="210">
        <v>0</v>
      </c>
      <c r="H34" s="212">
        <v>0</v>
      </c>
      <c r="I34" s="214"/>
    </row>
    <row r="35" spans="1:9" ht="15" x14ac:dyDescent="0.2">
      <c r="A35" s="233" t="s">
        <v>46</v>
      </c>
      <c r="B35" s="234"/>
      <c r="C35" s="235">
        <f t="shared" ref="C35:H35" si="3">C36+C37+C38+C39+C40+C41</f>
        <v>7820493</v>
      </c>
      <c r="D35" s="235">
        <f t="shared" si="3"/>
        <v>7820493</v>
      </c>
      <c r="E35" s="235">
        <f t="shared" si="3"/>
        <v>-2663319.84</v>
      </c>
      <c r="F35" s="235">
        <f t="shared" si="3"/>
        <v>5157173.16</v>
      </c>
      <c r="G35" s="235">
        <f t="shared" si="3"/>
        <v>13443292.464911956</v>
      </c>
      <c r="H35" s="236">
        <f t="shared" si="3"/>
        <v>10508879.304911956</v>
      </c>
      <c r="I35" s="214"/>
    </row>
    <row r="36" spans="1:9" ht="15" x14ac:dyDescent="0.2">
      <c r="A36" s="222" t="s">
        <v>140</v>
      </c>
      <c r="B36" s="223"/>
      <c r="C36" s="223">
        <f>ROUND(2828800/3.4528,0)</f>
        <v>819277</v>
      </c>
      <c r="D36" s="210">
        <f t="shared" ref="D36:D41" si="4">C36</f>
        <v>819277</v>
      </c>
      <c r="E36" s="210">
        <f t="shared" ref="E36:E41" si="5">F36-C36</f>
        <v>-149319.84000000008</v>
      </c>
      <c r="F36" s="210">
        <f>'1 lentele'!L273</f>
        <v>669957.15999999992</v>
      </c>
      <c r="G36" s="210">
        <f>'1 lentele'!P273</f>
        <v>1004558.1970713623</v>
      </c>
      <c r="H36" s="212">
        <f>'1 lentele'!Q273</f>
        <v>658475.03707136237</v>
      </c>
      <c r="I36" s="214"/>
    </row>
    <row r="37" spans="1:9" ht="15" x14ac:dyDescent="0.2">
      <c r="A37" s="222" t="s">
        <v>141</v>
      </c>
      <c r="B37" s="223"/>
      <c r="C37" s="223">
        <f>ROUND(23427800/3.4528,0)</f>
        <v>6785160</v>
      </c>
      <c r="D37" s="210">
        <f t="shared" si="4"/>
        <v>6785160</v>
      </c>
      <c r="E37" s="210">
        <f t="shared" si="5"/>
        <v>-2297944</v>
      </c>
      <c r="F37" s="210">
        <f>'1 lentele'!L280</f>
        <v>4487216</v>
      </c>
      <c r="G37" s="210">
        <f>'1 lentele'!P280</f>
        <v>12438734.267840594</v>
      </c>
      <c r="H37" s="212">
        <f>'1 lentele'!Q280</f>
        <v>9850404.2678405941</v>
      </c>
      <c r="I37" s="214"/>
    </row>
    <row r="38" spans="1:9" ht="15" x14ac:dyDescent="0.2">
      <c r="A38" s="222" t="s">
        <v>142</v>
      </c>
      <c r="B38" s="223"/>
      <c r="C38" s="223">
        <f>ROUND(726000/3.4528,0)</f>
        <v>210264</v>
      </c>
      <c r="D38" s="210">
        <f t="shared" si="4"/>
        <v>210264</v>
      </c>
      <c r="E38" s="210">
        <f t="shared" si="5"/>
        <v>-210264</v>
      </c>
      <c r="F38" s="210">
        <v>0</v>
      </c>
      <c r="G38" s="210">
        <v>0</v>
      </c>
      <c r="H38" s="212">
        <v>0</v>
      </c>
      <c r="I38" s="214"/>
    </row>
    <row r="39" spans="1:9" ht="25.5" x14ac:dyDescent="0.2">
      <c r="A39" s="222" t="s">
        <v>143</v>
      </c>
      <c r="B39" s="223"/>
      <c r="C39" s="223">
        <v>0</v>
      </c>
      <c r="D39" s="210">
        <f t="shared" si="4"/>
        <v>0</v>
      </c>
      <c r="E39" s="210">
        <f t="shared" si="5"/>
        <v>0</v>
      </c>
      <c r="F39" s="210">
        <v>0</v>
      </c>
      <c r="G39" s="210">
        <v>0</v>
      </c>
      <c r="H39" s="212">
        <v>0</v>
      </c>
      <c r="I39" s="214"/>
    </row>
    <row r="40" spans="1:9" ht="15" x14ac:dyDescent="0.2">
      <c r="A40" s="222" t="s">
        <v>144</v>
      </c>
      <c r="B40" s="223"/>
      <c r="C40" s="223">
        <v>0</v>
      </c>
      <c r="D40" s="210">
        <f t="shared" si="4"/>
        <v>0</v>
      </c>
      <c r="E40" s="210">
        <f t="shared" si="5"/>
        <v>0</v>
      </c>
      <c r="F40" s="210">
        <v>0</v>
      </c>
      <c r="G40" s="210">
        <v>0</v>
      </c>
      <c r="H40" s="212">
        <v>0</v>
      </c>
      <c r="I40" s="214"/>
    </row>
    <row r="41" spans="1:9" ht="15.75" thickBot="1" x14ac:dyDescent="0.25">
      <c r="A41" s="237" t="s">
        <v>145</v>
      </c>
      <c r="B41" s="238"/>
      <c r="C41" s="238">
        <f>ROUND(20000/3.4528,0)</f>
        <v>5792</v>
      </c>
      <c r="D41" s="239">
        <f t="shared" si="4"/>
        <v>5792</v>
      </c>
      <c r="E41" s="239">
        <f t="shared" si="5"/>
        <v>-5792</v>
      </c>
      <c r="F41" s="239">
        <v>0</v>
      </c>
      <c r="G41" s="239">
        <v>0</v>
      </c>
      <c r="H41" s="240">
        <v>0</v>
      </c>
      <c r="I41" s="214"/>
    </row>
  </sheetData>
  <mergeCells count="9">
    <mergeCell ref="A7:A8"/>
    <mergeCell ref="G7:G8"/>
    <mergeCell ref="H7:H8"/>
    <mergeCell ref="A1:H1"/>
    <mergeCell ref="A2:H2"/>
    <mergeCell ref="A4:H4"/>
    <mergeCell ref="B7:B8"/>
    <mergeCell ref="D7:F7"/>
    <mergeCell ref="C7:C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Header>&amp;C&amp;[7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94"/>
  <sheetViews>
    <sheetView topLeftCell="A7" zoomScale="120" zoomScaleNormal="120" zoomScaleSheetLayoutView="75" workbookViewId="0">
      <selection activeCell="M18" sqref="M18"/>
    </sheetView>
  </sheetViews>
  <sheetFormatPr defaultRowHeight="11.25" outlineLevelRow="1" x14ac:dyDescent="0.2"/>
  <cols>
    <col min="1" max="2" width="3.7109375" style="41" customWidth="1"/>
    <col min="3" max="3" width="5" style="41" customWidth="1"/>
    <col min="4" max="4" width="23.28515625" style="41" customWidth="1"/>
    <col min="5" max="5" width="5.140625" style="41" customWidth="1"/>
    <col min="6" max="6" width="6.42578125" style="41" customWidth="1"/>
    <col min="7" max="7" width="12" style="41" customWidth="1"/>
    <col min="8" max="8" width="13.85546875" style="41" customWidth="1"/>
    <col min="9" max="9" width="9" style="41" customWidth="1"/>
    <col min="10" max="10" width="6.5703125" style="41" customWidth="1"/>
    <col min="11" max="11" width="14.140625" style="41" customWidth="1"/>
    <col min="12" max="12" width="12.42578125" style="41" customWidth="1"/>
    <col min="13" max="13" width="11.140625" style="41" customWidth="1"/>
    <col min="14" max="14" width="6.42578125" style="41" customWidth="1"/>
    <col min="15" max="16" width="15.85546875" style="41" customWidth="1"/>
    <col min="17" max="17" width="10.5703125" style="41" customWidth="1"/>
    <col min="18" max="18" width="19.42578125" style="41" customWidth="1"/>
    <col min="19" max="19" width="6.42578125" style="41" customWidth="1"/>
    <col min="20" max="20" width="5.42578125" style="41" customWidth="1"/>
    <col min="21" max="21" width="7" style="41" customWidth="1"/>
    <col min="22" max="16384" width="9.140625" style="41"/>
  </cols>
  <sheetData>
    <row r="1" spans="1:23" ht="38.25" customHeight="1" x14ac:dyDescent="0.2">
      <c r="P1" s="575"/>
      <c r="Q1" s="575"/>
      <c r="R1" s="575"/>
      <c r="S1" s="575"/>
    </row>
    <row r="2" spans="1:23" ht="15.75" customHeight="1" x14ac:dyDescent="0.2">
      <c r="A2" s="576" t="s">
        <v>220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</row>
    <row r="3" spans="1:23" s="42" customFormat="1" ht="14.25" customHeight="1" x14ac:dyDescent="0.2">
      <c r="A3" s="577" t="s">
        <v>262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</row>
    <row r="4" spans="1:23" s="43" customFormat="1" ht="15.75" customHeight="1" x14ac:dyDescent="0.2">
      <c r="A4" s="578" t="s">
        <v>25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</row>
    <row r="5" spans="1:23" s="42" customFormat="1" ht="11.25" customHeight="1" x14ac:dyDescent="0.2">
      <c r="A5" s="577" t="s">
        <v>50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</row>
    <row r="6" spans="1:23" ht="15" customHeight="1" x14ac:dyDescent="0.2">
      <c r="A6" s="579" t="s">
        <v>26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</row>
    <row r="7" spans="1:23" ht="15" customHeight="1" thickBot="1" x14ac:dyDescent="0.25">
      <c r="A7" s="561" t="s">
        <v>223</v>
      </c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</row>
    <row r="8" spans="1:23" ht="24.75" customHeight="1" x14ac:dyDescent="0.2">
      <c r="A8" s="562" t="s">
        <v>0</v>
      </c>
      <c r="B8" s="565" t="s">
        <v>1</v>
      </c>
      <c r="C8" s="565" t="s">
        <v>2</v>
      </c>
      <c r="D8" s="568" t="s">
        <v>3</v>
      </c>
      <c r="E8" s="569" t="s">
        <v>4</v>
      </c>
      <c r="F8" s="565" t="s">
        <v>5</v>
      </c>
      <c r="G8" s="572" t="s">
        <v>6</v>
      </c>
      <c r="H8" s="552" t="s">
        <v>224</v>
      </c>
      <c r="I8" s="553"/>
      <c r="J8" s="553"/>
      <c r="K8" s="554"/>
      <c r="L8" s="552" t="s">
        <v>225</v>
      </c>
      <c r="M8" s="553"/>
      <c r="N8" s="553"/>
      <c r="O8" s="554"/>
      <c r="P8" s="549" t="s">
        <v>226</v>
      </c>
      <c r="Q8" s="549" t="s">
        <v>227</v>
      </c>
      <c r="R8" s="552" t="s">
        <v>181</v>
      </c>
      <c r="S8" s="553"/>
      <c r="T8" s="553"/>
      <c r="U8" s="554"/>
      <c r="W8" s="134">
        <v>3.4527999999999999</v>
      </c>
    </row>
    <row r="9" spans="1:23" ht="19.5" customHeight="1" x14ac:dyDescent="0.2">
      <c r="A9" s="563"/>
      <c r="B9" s="566"/>
      <c r="C9" s="566"/>
      <c r="D9" s="363"/>
      <c r="E9" s="570"/>
      <c r="F9" s="566"/>
      <c r="G9" s="573"/>
      <c r="H9" s="555" t="s">
        <v>7</v>
      </c>
      <c r="I9" s="426" t="s">
        <v>8</v>
      </c>
      <c r="J9" s="426"/>
      <c r="K9" s="557" t="s">
        <v>9</v>
      </c>
      <c r="L9" s="555" t="s">
        <v>7</v>
      </c>
      <c r="M9" s="419" t="s">
        <v>8</v>
      </c>
      <c r="N9" s="419"/>
      <c r="O9" s="557" t="s">
        <v>9</v>
      </c>
      <c r="P9" s="550"/>
      <c r="Q9" s="550"/>
      <c r="R9" s="559" t="s">
        <v>24</v>
      </c>
      <c r="S9" s="419" t="s">
        <v>10</v>
      </c>
      <c r="T9" s="419"/>
      <c r="U9" s="541"/>
    </row>
    <row r="10" spans="1:23" ht="97.5" customHeight="1" thickBot="1" x14ac:dyDescent="0.25">
      <c r="A10" s="564"/>
      <c r="B10" s="567"/>
      <c r="C10" s="567"/>
      <c r="D10" s="460"/>
      <c r="E10" s="571"/>
      <c r="F10" s="567"/>
      <c r="G10" s="574"/>
      <c r="H10" s="556"/>
      <c r="I10" s="46" t="s">
        <v>7</v>
      </c>
      <c r="J10" s="46" t="s">
        <v>11</v>
      </c>
      <c r="K10" s="558"/>
      <c r="L10" s="556"/>
      <c r="M10" s="45" t="s">
        <v>7</v>
      </c>
      <c r="N10" s="46" t="s">
        <v>11</v>
      </c>
      <c r="O10" s="558"/>
      <c r="P10" s="551"/>
      <c r="Q10" s="551"/>
      <c r="R10" s="560"/>
      <c r="S10" s="47" t="s">
        <v>228</v>
      </c>
      <c r="T10" s="47" t="s">
        <v>229</v>
      </c>
      <c r="U10" s="48" t="s">
        <v>230</v>
      </c>
    </row>
    <row r="11" spans="1:23" ht="15" customHeight="1" thickBot="1" x14ac:dyDescent="0.25">
      <c r="A11" s="542" t="s">
        <v>47</v>
      </c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4"/>
    </row>
    <row r="12" spans="1:23" ht="15" customHeight="1" thickBot="1" x14ac:dyDescent="0.25">
      <c r="A12" s="545" t="s">
        <v>51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7"/>
    </row>
    <row r="13" spans="1:23" ht="15" customHeight="1" thickBot="1" x14ac:dyDescent="0.25">
      <c r="A13" s="49" t="s">
        <v>17</v>
      </c>
      <c r="B13" s="481" t="s">
        <v>146</v>
      </c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4"/>
    </row>
    <row r="14" spans="1:23" ht="15" customHeight="1" thickBot="1" x14ac:dyDescent="0.25">
      <c r="A14" s="49" t="s">
        <v>17</v>
      </c>
      <c r="B14" s="203" t="s">
        <v>17</v>
      </c>
      <c r="C14" s="548" t="s">
        <v>116</v>
      </c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536"/>
    </row>
    <row r="15" spans="1:23" ht="24" customHeight="1" x14ac:dyDescent="0.2">
      <c r="A15" s="471" t="s">
        <v>17</v>
      </c>
      <c r="B15" s="409" t="s">
        <v>17</v>
      </c>
      <c r="C15" s="410" t="s">
        <v>17</v>
      </c>
      <c r="D15" s="473" t="s">
        <v>196</v>
      </c>
      <c r="E15" s="413">
        <v>9</v>
      </c>
      <c r="F15" s="492" t="s">
        <v>182</v>
      </c>
      <c r="G15" s="168" t="s">
        <v>56</v>
      </c>
      <c r="H15" s="51">
        <f>SUM(I15:K15)</f>
        <v>95575</v>
      </c>
      <c r="I15" s="52"/>
      <c r="J15" s="52"/>
      <c r="K15" s="40">
        <f>ROUND(330000/W8,0)</f>
        <v>95575</v>
      </c>
      <c r="L15" s="51">
        <f>SUM(M15:O15)</f>
        <v>95575</v>
      </c>
      <c r="M15" s="52"/>
      <c r="N15" s="52"/>
      <c r="O15" s="40">
        <v>95575</v>
      </c>
      <c r="P15" s="53">
        <v>460000</v>
      </c>
      <c r="Q15" s="53">
        <v>400000</v>
      </c>
      <c r="R15" s="489" t="s">
        <v>149</v>
      </c>
      <c r="S15" s="54"/>
      <c r="T15" s="55"/>
      <c r="U15" s="56">
        <v>1</v>
      </c>
      <c r="V15" s="57"/>
    </row>
    <row r="16" spans="1:23" s="42" customFormat="1" ht="23.25" customHeight="1" x14ac:dyDescent="0.2">
      <c r="A16" s="454"/>
      <c r="B16" s="456"/>
      <c r="C16" s="472"/>
      <c r="D16" s="463"/>
      <c r="E16" s="464"/>
      <c r="F16" s="399"/>
      <c r="G16" s="170" t="s">
        <v>12</v>
      </c>
      <c r="H16" s="58">
        <f t="shared" ref="H16:Q16" si="0">SUM(H15:H15)</f>
        <v>95575</v>
      </c>
      <c r="I16" s="59">
        <f t="shared" si="0"/>
        <v>0</v>
      </c>
      <c r="J16" s="59">
        <f t="shared" si="0"/>
        <v>0</v>
      </c>
      <c r="K16" s="60">
        <f t="shared" si="0"/>
        <v>95575</v>
      </c>
      <c r="L16" s="58">
        <f t="shared" si="0"/>
        <v>95575</v>
      </c>
      <c r="M16" s="59">
        <f t="shared" si="0"/>
        <v>0</v>
      </c>
      <c r="N16" s="59">
        <f t="shared" si="0"/>
        <v>0</v>
      </c>
      <c r="O16" s="60">
        <f t="shared" si="0"/>
        <v>95575</v>
      </c>
      <c r="P16" s="62">
        <f t="shared" si="0"/>
        <v>460000</v>
      </c>
      <c r="Q16" s="62">
        <f t="shared" si="0"/>
        <v>400000</v>
      </c>
      <c r="R16" s="418"/>
      <c r="S16" s="58">
        <f>SUM(S15:S15)</f>
        <v>0</v>
      </c>
      <c r="T16" s="59">
        <f>SUM(T15:T15)</f>
        <v>0</v>
      </c>
      <c r="U16" s="60">
        <f>SUM(U15:U15)</f>
        <v>1</v>
      </c>
      <c r="V16" s="63"/>
    </row>
    <row r="17" spans="1:22" x14ac:dyDescent="0.2">
      <c r="A17" s="454" t="s">
        <v>17</v>
      </c>
      <c r="B17" s="456" t="s">
        <v>17</v>
      </c>
      <c r="C17" s="472" t="s">
        <v>18</v>
      </c>
      <c r="D17" s="463" t="s">
        <v>336</v>
      </c>
      <c r="E17" s="464">
        <v>9</v>
      </c>
      <c r="F17" s="398" t="s">
        <v>349</v>
      </c>
      <c r="G17" s="169" t="s">
        <v>112</v>
      </c>
      <c r="H17" s="64">
        <f>SUM(I17:K17)</f>
        <v>5792</v>
      </c>
      <c r="I17" s="44"/>
      <c r="J17" s="44"/>
      <c r="K17" s="65">
        <v>5792</v>
      </c>
      <c r="L17" s="64">
        <f>SUM(M17:O17)</f>
        <v>5792</v>
      </c>
      <c r="M17" s="44"/>
      <c r="N17" s="44"/>
      <c r="O17" s="65">
        <v>5792</v>
      </c>
      <c r="P17" s="70"/>
      <c r="Q17" s="70"/>
      <c r="R17" s="418" t="s">
        <v>149</v>
      </c>
      <c r="S17" s="345"/>
      <c r="T17" s="385"/>
      <c r="U17" s="376">
        <v>1</v>
      </c>
      <c r="V17" s="57"/>
    </row>
    <row r="18" spans="1:22" x14ac:dyDescent="0.2">
      <c r="A18" s="454"/>
      <c r="B18" s="456"/>
      <c r="C18" s="472"/>
      <c r="D18" s="463"/>
      <c r="E18" s="464"/>
      <c r="F18" s="399"/>
      <c r="G18" s="169" t="s">
        <v>56</v>
      </c>
      <c r="H18" s="64">
        <f>SUM(I18:K18)</f>
        <v>0</v>
      </c>
      <c r="I18" s="44"/>
      <c r="J18" s="44"/>
      <c r="K18" s="65"/>
      <c r="L18" s="64">
        <f>SUM(M18:O18)</f>
        <v>0</v>
      </c>
      <c r="M18" s="44"/>
      <c r="N18" s="44"/>
      <c r="O18" s="65"/>
      <c r="P18" s="70">
        <v>1737720</v>
      </c>
      <c r="Q18" s="70">
        <v>1737720</v>
      </c>
      <c r="R18" s="418"/>
      <c r="S18" s="346"/>
      <c r="T18" s="386"/>
      <c r="U18" s="377"/>
      <c r="V18" s="57"/>
    </row>
    <row r="19" spans="1:22" s="42" customFormat="1" ht="10.5" x14ac:dyDescent="0.2">
      <c r="A19" s="454"/>
      <c r="B19" s="456"/>
      <c r="C19" s="472"/>
      <c r="D19" s="463"/>
      <c r="E19" s="464"/>
      <c r="F19" s="399"/>
      <c r="G19" s="170" t="s">
        <v>12</v>
      </c>
      <c r="H19" s="58">
        <f t="shared" ref="H19:Q19" si="1">SUM(H17:H18)</f>
        <v>5792</v>
      </c>
      <c r="I19" s="59">
        <f t="shared" si="1"/>
        <v>0</v>
      </c>
      <c r="J19" s="59">
        <f t="shared" si="1"/>
        <v>0</v>
      </c>
      <c r="K19" s="60">
        <f t="shared" si="1"/>
        <v>5792</v>
      </c>
      <c r="L19" s="58">
        <f t="shared" si="1"/>
        <v>5792</v>
      </c>
      <c r="M19" s="59">
        <f t="shared" si="1"/>
        <v>0</v>
      </c>
      <c r="N19" s="59">
        <f t="shared" si="1"/>
        <v>0</v>
      </c>
      <c r="O19" s="60">
        <f t="shared" si="1"/>
        <v>5792</v>
      </c>
      <c r="P19" s="62">
        <f t="shared" si="1"/>
        <v>1737720</v>
      </c>
      <c r="Q19" s="62">
        <f t="shared" si="1"/>
        <v>1737720</v>
      </c>
      <c r="R19" s="418"/>
      <c r="S19" s="58">
        <f>SUM(S17:S18)</f>
        <v>0</v>
      </c>
      <c r="T19" s="59">
        <f>SUM(T17:T18)</f>
        <v>0</v>
      </c>
      <c r="U19" s="60">
        <f>SUM(U17:U18)</f>
        <v>1</v>
      </c>
      <c r="V19" s="63"/>
    </row>
    <row r="20" spans="1:22" s="246" customFormat="1" ht="22.5" hidden="1" outlineLevel="1" x14ac:dyDescent="0.2">
      <c r="A20" s="599"/>
      <c r="B20" s="590"/>
      <c r="C20" s="590"/>
      <c r="D20" s="142" t="s">
        <v>340</v>
      </c>
      <c r="E20" s="593"/>
      <c r="F20" s="602"/>
      <c r="G20" s="190" t="s">
        <v>112</v>
      </c>
      <c r="H20" s="186">
        <f t="shared" ref="H20:H26" si="2">SUM(I20:K20)</f>
        <v>4792</v>
      </c>
      <c r="I20" s="178"/>
      <c r="J20" s="178"/>
      <c r="K20" s="191">
        <v>4792</v>
      </c>
      <c r="L20" s="186">
        <f t="shared" ref="L20:L26" si="3">SUM(M20:O20)</f>
        <v>4792</v>
      </c>
      <c r="M20" s="178"/>
      <c r="N20" s="178"/>
      <c r="O20" s="191">
        <v>4792</v>
      </c>
      <c r="P20" s="247"/>
      <c r="Q20" s="247"/>
      <c r="R20" s="262"/>
      <c r="S20" s="248"/>
      <c r="T20" s="249"/>
      <c r="U20" s="250"/>
      <c r="V20" s="245"/>
    </row>
    <row r="21" spans="1:22" s="246" customFormat="1" hidden="1" outlineLevel="1" x14ac:dyDescent="0.2">
      <c r="A21" s="600"/>
      <c r="B21" s="591"/>
      <c r="C21" s="591"/>
      <c r="D21" s="532" t="s">
        <v>341</v>
      </c>
      <c r="E21" s="594"/>
      <c r="F21" s="603"/>
      <c r="G21" s="190" t="s">
        <v>112</v>
      </c>
      <c r="H21" s="186">
        <f t="shared" si="2"/>
        <v>1000</v>
      </c>
      <c r="I21" s="178"/>
      <c r="J21" s="178"/>
      <c r="K21" s="191">
        <v>1000</v>
      </c>
      <c r="L21" s="186">
        <f t="shared" si="3"/>
        <v>1000</v>
      </c>
      <c r="M21" s="178"/>
      <c r="N21" s="178"/>
      <c r="O21" s="191">
        <v>1000</v>
      </c>
      <c r="P21" s="247">
        <v>1737720</v>
      </c>
      <c r="Q21" s="247">
        <v>1737720</v>
      </c>
      <c r="R21" s="262"/>
      <c r="S21" s="248"/>
      <c r="T21" s="249"/>
      <c r="U21" s="250"/>
      <c r="V21" s="245"/>
    </row>
    <row r="22" spans="1:22" s="246" customFormat="1" hidden="1" outlineLevel="1" x14ac:dyDescent="0.2">
      <c r="A22" s="601"/>
      <c r="B22" s="592"/>
      <c r="C22" s="592"/>
      <c r="D22" s="533"/>
      <c r="E22" s="595"/>
      <c r="F22" s="604"/>
      <c r="G22" s="190" t="s">
        <v>56</v>
      </c>
      <c r="H22" s="186">
        <f t="shared" si="2"/>
        <v>0</v>
      </c>
      <c r="I22" s="178"/>
      <c r="J22" s="178"/>
      <c r="K22" s="191">
        <f>K18</f>
        <v>0</v>
      </c>
      <c r="L22" s="186">
        <f t="shared" si="3"/>
        <v>0</v>
      </c>
      <c r="M22" s="178"/>
      <c r="N22" s="178"/>
      <c r="O22" s="191">
        <f>O18</f>
        <v>0</v>
      </c>
      <c r="P22" s="247"/>
      <c r="Q22" s="247"/>
      <c r="R22" s="262"/>
      <c r="S22" s="248"/>
      <c r="T22" s="249"/>
      <c r="U22" s="250"/>
      <c r="V22" s="245"/>
    </row>
    <row r="23" spans="1:22" ht="12" customHeight="1" collapsed="1" x14ac:dyDescent="0.2">
      <c r="A23" s="454" t="s">
        <v>17</v>
      </c>
      <c r="B23" s="456" t="s">
        <v>17</v>
      </c>
      <c r="C23" s="472" t="s">
        <v>19</v>
      </c>
      <c r="D23" s="463" t="s">
        <v>57</v>
      </c>
      <c r="E23" s="464">
        <v>10</v>
      </c>
      <c r="F23" s="398" t="s">
        <v>182</v>
      </c>
      <c r="G23" s="169" t="s">
        <v>112</v>
      </c>
      <c r="H23" s="64">
        <f t="shared" si="2"/>
        <v>144810</v>
      </c>
      <c r="I23" s="206"/>
      <c r="J23" s="206"/>
      <c r="K23" s="65">
        <v>144810</v>
      </c>
      <c r="L23" s="64">
        <f t="shared" si="3"/>
        <v>144810</v>
      </c>
      <c r="M23" s="206"/>
      <c r="N23" s="206"/>
      <c r="O23" s="65">
        <v>144810</v>
      </c>
      <c r="P23" s="176"/>
      <c r="Q23" s="70"/>
      <c r="R23" s="418" t="s">
        <v>151</v>
      </c>
      <c r="S23" s="345">
        <v>1</v>
      </c>
      <c r="T23" s="385"/>
      <c r="U23" s="376"/>
      <c r="V23" s="57"/>
    </row>
    <row r="24" spans="1:22" ht="10.5" customHeight="1" x14ac:dyDescent="0.2">
      <c r="A24" s="454"/>
      <c r="B24" s="456"/>
      <c r="C24" s="472"/>
      <c r="D24" s="463"/>
      <c r="E24" s="464"/>
      <c r="F24" s="399"/>
      <c r="G24" s="169" t="s">
        <v>55</v>
      </c>
      <c r="H24" s="64">
        <f t="shared" si="2"/>
        <v>529657</v>
      </c>
      <c r="I24" s="206"/>
      <c r="J24" s="206"/>
      <c r="K24" s="65">
        <f>ROUND(1828798/3.4528,0)</f>
        <v>529657</v>
      </c>
      <c r="L24" s="64">
        <f t="shared" si="3"/>
        <v>529657</v>
      </c>
      <c r="M24" s="206"/>
      <c r="N24" s="206"/>
      <c r="O24" s="65">
        <v>529657</v>
      </c>
      <c r="P24" s="176"/>
      <c r="Q24" s="70"/>
      <c r="R24" s="418"/>
      <c r="S24" s="346"/>
      <c r="T24" s="386"/>
      <c r="U24" s="377"/>
      <c r="V24" s="57"/>
    </row>
    <row r="25" spans="1:22" ht="11.25" customHeight="1" x14ac:dyDescent="0.2">
      <c r="A25" s="454"/>
      <c r="B25" s="456"/>
      <c r="C25" s="472"/>
      <c r="D25" s="463"/>
      <c r="E25" s="464"/>
      <c r="F25" s="399"/>
      <c r="G25" s="169" t="s">
        <v>29</v>
      </c>
      <c r="H25" s="64">
        <f t="shared" si="2"/>
        <v>93469</v>
      </c>
      <c r="I25" s="206"/>
      <c r="J25" s="206"/>
      <c r="K25" s="65">
        <f>ROUND(322729/3.4528,0)</f>
        <v>93469</v>
      </c>
      <c r="L25" s="64">
        <f t="shared" si="3"/>
        <v>93469</v>
      </c>
      <c r="M25" s="206"/>
      <c r="N25" s="206"/>
      <c r="O25" s="65">
        <v>93469</v>
      </c>
      <c r="P25" s="176"/>
      <c r="Q25" s="70"/>
      <c r="R25" s="418"/>
      <c r="S25" s="346"/>
      <c r="T25" s="386"/>
      <c r="U25" s="377"/>
      <c r="V25" s="57"/>
    </row>
    <row r="26" spans="1:22" ht="11.25" customHeight="1" x14ac:dyDescent="0.2">
      <c r="A26" s="454"/>
      <c r="B26" s="456"/>
      <c r="C26" s="472"/>
      <c r="D26" s="463"/>
      <c r="E26" s="464"/>
      <c r="F26" s="399"/>
      <c r="G26" s="169" t="s">
        <v>258</v>
      </c>
      <c r="H26" s="64">
        <f t="shared" si="2"/>
        <v>200000</v>
      </c>
      <c r="I26" s="206"/>
      <c r="J26" s="206"/>
      <c r="K26" s="65">
        <v>200000</v>
      </c>
      <c r="L26" s="64">
        <f t="shared" si="3"/>
        <v>150000</v>
      </c>
      <c r="M26" s="206"/>
      <c r="N26" s="206"/>
      <c r="O26" s="65">
        <f>200000-50000</f>
        <v>150000</v>
      </c>
      <c r="P26" s="176"/>
      <c r="Q26" s="70"/>
      <c r="R26" s="418"/>
      <c r="S26" s="347"/>
      <c r="T26" s="387"/>
      <c r="U26" s="378"/>
      <c r="V26" s="57"/>
    </row>
    <row r="27" spans="1:22" s="42" customFormat="1" ht="11.25" customHeight="1" x14ac:dyDescent="0.2">
      <c r="A27" s="454"/>
      <c r="B27" s="456"/>
      <c r="C27" s="472"/>
      <c r="D27" s="463"/>
      <c r="E27" s="464"/>
      <c r="F27" s="399"/>
      <c r="G27" s="170" t="s">
        <v>12</v>
      </c>
      <c r="H27" s="58">
        <f t="shared" ref="H27:Q27" si="4">SUM(H23:H26)</f>
        <v>967936</v>
      </c>
      <c r="I27" s="59">
        <f t="shared" si="4"/>
        <v>0</v>
      </c>
      <c r="J27" s="59">
        <f t="shared" si="4"/>
        <v>0</v>
      </c>
      <c r="K27" s="60">
        <f t="shared" si="4"/>
        <v>967936</v>
      </c>
      <c r="L27" s="58">
        <f t="shared" si="4"/>
        <v>917936</v>
      </c>
      <c r="M27" s="59">
        <f t="shared" si="4"/>
        <v>0</v>
      </c>
      <c r="N27" s="59">
        <f t="shared" si="4"/>
        <v>0</v>
      </c>
      <c r="O27" s="60">
        <f t="shared" si="4"/>
        <v>917936</v>
      </c>
      <c r="P27" s="62">
        <f t="shared" si="4"/>
        <v>0</v>
      </c>
      <c r="Q27" s="62">
        <f t="shared" si="4"/>
        <v>0</v>
      </c>
      <c r="R27" s="418"/>
      <c r="S27" s="58">
        <f>SUM(S23:S25)</f>
        <v>1</v>
      </c>
      <c r="T27" s="59">
        <f>SUM(T23:T25)</f>
        <v>0</v>
      </c>
      <c r="U27" s="60">
        <f>SUM(U23:U25)</f>
        <v>0</v>
      </c>
      <c r="V27" s="63"/>
    </row>
    <row r="28" spans="1:22" x14ac:dyDescent="0.2">
      <c r="A28" s="454" t="s">
        <v>17</v>
      </c>
      <c r="B28" s="456" t="s">
        <v>17</v>
      </c>
      <c r="C28" s="472">
        <v>4</v>
      </c>
      <c r="D28" s="463" t="s">
        <v>327</v>
      </c>
      <c r="E28" s="464">
        <v>9</v>
      </c>
      <c r="F28" s="398" t="s">
        <v>237</v>
      </c>
      <c r="G28" s="169" t="s">
        <v>112</v>
      </c>
      <c r="H28" s="64">
        <f>SUM(I28:K28)</f>
        <v>4344</v>
      </c>
      <c r="I28" s="44"/>
      <c r="J28" s="44"/>
      <c r="K28" s="65">
        <v>4344</v>
      </c>
      <c r="L28" s="64">
        <f>SUM(M28:O28)</f>
        <v>4344</v>
      </c>
      <c r="M28" s="44"/>
      <c r="N28" s="44"/>
      <c r="O28" s="65">
        <v>4344</v>
      </c>
      <c r="P28" s="70">
        <v>4344</v>
      </c>
      <c r="Q28" s="70">
        <v>4344</v>
      </c>
      <c r="R28" s="418" t="s">
        <v>149</v>
      </c>
      <c r="S28" s="425"/>
      <c r="T28" s="426"/>
      <c r="U28" s="369">
        <v>1</v>
      </c>
      <c r="V28" s="57"/>
    </row>
    <row r="29" spans="1:22" x14ac:dyDescent="0.2">
      <c r="A29" s="454"/>
      <c r="B29" s="456"/>
      <c r="C29" s="472"/>
      <c r="D29" s="463"/>
      <c r="E29" s="464"/>
      <c r="F29" s="399"/>
      <c r="G29" s="169" t="s">
        <v>56</v>
      </c>
      <c r="H29" s="64">
        <f>SUM(I29:K29)</f>
        <v>57924</v>
      </c>
      <c r="I29" s="44"/>
      <c r="J29" s="44"/>
      <c r="K29" s="65">
        <v>57924</v>
      </c>
      <c r="L29" s="64">
        <f>SUM(M29:O29)</f>
        <v>57924</v>
      </c>
      <c r="M29" s="44"/>
      <c r="N29" s="44"/>
      <c r="O29" s="65">
        <v>57924</v>
      </c>
      <c r="P29" s="70">
        <v>144810</v>
      </c>
      <c r="Q29" s="70">
        <v>144810</v>
      </c>
      <c r="R29" s="418"/>
      <c r="S29" s="425"/>
      <c r="T29" s="426"/>
      <c r="U29" s="369"/>
      <c r="V29" s="57"/>
    </row>
    <row r="30" spans="1:22" s="42" customFormat="1" ht="46.5" customHeight="1" x14ac:dyDescent="0.2">
      <c r="A30" s="454"/>
      <c r="B30" s="456"/>
      <c r="C30" s="472"/>
      <c r="D30" s="463"/>
      <c r="E30" s="464"/>
      <c r="F30" s="399"/>
      <c r="G30" s="170" t="s">
        <v>12</v>
      </c>
      <c r="H30" s="58">
        <f t="shared" ref="H30:Q30" si="5">SUM(H28:H29)</f>
        <v>62268</v>
      </c>
      <c r="I30" s="59">
        <f t="shared" si="5"/>
        <v>0</v>
      </c>
      <c r="J30" s="59">
        <f t="shared" si="5"/>
        <v>0</v>
      </c>
      <c r="K30" s="60">
        <f t="shared" si="5"/>
        <v>62268</v>
      </c>
      <c r="L30" s="58">
        <f t="shared" si="5"/>
        <v>62268</v>
      </c>
      <c r="M30" s="59">
        <f t="shared" si="5"/>
        <v>0</v>
      </c>
      <c r="N30" s="59">
        <f t="shared" si="5"/>
        <v>0</v>
      </c>
      <c r="O30" s="60">
        <f t="shared" si="5"/>
        <v>62268</v>
      </c>
      <c r="P30" s="62">
        <f t="shared" si="5"/>
        <v>149154</v>
      </c>
      <c r="Q30" s="62">
        <f t="shared" si="5"/>
        <v>149154</v>
      </c>
      <c r="R30" s="418"/>
      <c r="S30" s="58">
        <f>SUM(S28:S29)</f>
        <v>0</v>
      </c>
      <c r="T30" s="59">
        <f>SUM(T28:T29)</f>
        <v>0</v>
      </c>
      <c r="U30" s="60">
        <f>SUM(U28:U29)</f>
        <v>1</v>
      </c>
      <c r="V30" s="63"/>
    </row>
    <row r="31" spans="1:22" s="42" customFormat="1" ht="22.5" hidden="1" outlineLevel="1" x14ac:dyDescent="0.2">
      <c r="A31" s="599"/>
      <c r="B31" s="590"/>
      <c r="C31" s="590"/>
      <c r="D31" s="142" t="s">
        <v>342</v>
      </c>
      <c r="E31" s="593"/>
      <c r="F31" s="602"/>
      <c r="G31" s="190" t="s">
        <v>112</v>
      </c>
      <c r="H31" s="186">
        <f>SUM(I31:K31)</f>
        <v>4344</v>
      </c>
      <c r="I31" s="178"/>
      <c r="J31" s="178"/>
      <c r="K31" s="191">
        <v>4344</v>
      </c>
      <c r="L31" s="186">
        <f>SUM(M31:O31)</f>
        <v>4344</v>
      </c>
      <c r="M31" s="178"/>
      <c r="N31" s="178"/>
      <c r="O31" s="191">
        <v>4344</v>
      </c>
      <c r="P31" s="247"/>
      <c r="Q31" s="247"/>
      <c r="R31" s="262"/>
      <c r="S31" s="248"/>
      <c r="T31" s="249"/>
      <c r="U31" s="250"/>
      <c r="V31" s="63"/>
    </row>
    <row r="32" spans="1:22" s="42" customFormat="1" hidden="1" outlineLevel="1" x14ac:dyDescent="0.2">
      <c r="A32" s="600"/>
      <c r="B32" s="591"/>
      <c r="C32" s="591"/>
      <c r="D32" s="532" t="s">
        <v>341</v>
      </c>
      <c r="E32" s="594"/>
      <c r="F32" s="603"/>
      <c r="G32" s="190" t="s">
        <v>112</v>
      </c>
      <c r="H32" s="186"/>
      <c r="I32" s="178"/>
      <c r="J32" s="178"/>
      <c r="K32" s="191"/>
      <c r="L32" s="186"/>
      <c r="M32" s="178"/>
      <c r="N32" s="178"/>
      <c r="O32" s="191"/>
      <c r="P32" s="247">
        <f>P28</f>
        <v>4344</v>
      </c>
      <c r="Q32" s="247">
        <f>Q28</f>
        <v>4344</v>
      </c>
      <c r="R32" s="262"/>
      <c r="S32" s="248"/>
      <c r="T32" s="249"/>
      <c r="U32" s="250"/>
      <c r="V32" s="63"/>
    </row>
    <row r="33" spans="1:22" s="42" customFormat="1" hidden="1" outlineLevel="1" x14ac:dyDescent="0.2">
      <c r="A33" s="601"/>
      <c r="B33" s="592"/>
      <c r="C33" s="592"/>
      <c r="D33" s="533"/>
      <c r="E33" s="595"/>
      <c r="F33" s="604"/>
      <c r="G33" s="190" t="s">
        <v>56</v>
      </c>
      <c r="H33" s="186">
        <f>H29</f>
        <v>57924</v>
      </c>
      <c r="I33" s="178">
        <f t="shared" ref="I33:O33" si="6">I29</f>
        <v>0</v>
      </c>
      <c r="J33" s="178">
        <f t="shared" si="6"/>
        <v>0</v>
      </c>
      <c r="K33" s="191">
        <f t="shared" si="6"/>
        <v>57924</v>
      </c>
      <c r="L33" s="186">
        <f>L29</f>
        <v>57924</v>
      </c>
      <c r="M33" s="178">
        <f t="shared" si="6"/>
        <v>0</v>
      </c>
      <c r="N33" s="178">
        <f t="shared" si="6"/>
        <v>0</v>
      </c>
      <c r="O33" s="191">
        <f t="shared" si="6"/>
        <v>57924</v>
      </c>
      <c r="P33" s="247">
        <f>P29</f>
        <v>144810</v>
      </c>
      <c r="Q33" s="247">
        <f>Q29</f>
        <v>144810</v>
      </c>
      <c r="R33" s="262"/>
      <c r="S33" s="248"/>
      <c r="T33" s="249"/>
      <c r="U33" s="250"/>
      <c r="V33" s="63"/>
    </row>
    <row r="34" spans="1:22" collapsed="1" x14ac:dyDescent="0.2">
      <c r="A34" s="454" t="s">
        <v>17</v>
      </c>
      <c r="B34" s="456" t="s">
        <v>17</v>
      </c>
      <c r="C34" s="472">
        <v>5</v>
      </c>
      <c r="D34" s="463" t="s">
        <v>263</v>
      </c>
      <c r="E34" s="464">
        <v>9</v>
      </c>
      <c r="F34" s="398" t="s">
        <v>335</v>
      </c>
      <c r="G34" s="169" t="s">
        <v>112</v>
      </c>
      <c r="H34" s="64">
        <f>SUM(I34:K34)</f>
        <v>0</v>
      </c>
      <c r="I34" s="44"/>
      <c r="J34" s="44"/>
      <c r="K34" s="65"/>
      <c r="L34" s="64">
        <f>SUM(M34:O34)</f>
        <v>0</v>
      </c>
      <c r="M34" s="44"/>
      <c r="N34" s="44"/>
      <c r="O34" s="65"/>
      <c r="P34" s="70">
        <v>38635</v>
      </c>
      <c r="Q34" s="70">
        <v>38635</v>
      </c>
      <c r="R34" s="418" t="s">
        <v>151</v>
      </c>
      <c r="S34" s="345"/>
      <c r="T34" s="348"/>
      <c r="U34" s="376"/>
      <c r="V34" s="57"/>
    </row>
    <row r="35" spans="1:22" x14ac:dyDescent="0.2">
      <c r="A35" s="454"/>
      <c r="B35" s="456"/>
      <c r="C35" s="472"/>
      <c r="D35" s="463"/>
      <c r="E35" s="464"/>
      <c r="F35" s="399"/>
      <c r="G35" s="169" t="s">
        <v>55</v>
      </c>
      <c r="H35" s="64">
        <f>SUM(I35:K35)</f>
        <v>0</v>
      </c>
      <c r="I35" s="44"/>
      <c r="J35" s="44"/>
      <c r="K35" s="65"/>
      <c r="L35" s="64">
        <f>SUM(M35:O35)</f>
        <v>0</v>
      </c>
      <c r="M35" s="44"/>
      <c r="N35" s="44"/>
      <c r="O35" s="65"/>
      <c r="P35" s="70">
        <v>218932</v>
      </c>
      <c r="Q35" s="70">
        <v>218932</v>
      </c>
      <c r="R35" s="418"/>
      <c r="S35" s="346"/>
      <c r="T35" s="349"/>
      <c r="U35" s="377"/>
      <c r="V35" s="57"/>
    </row>
    <row r="36" spans="1:22" s="42" customFormat="1" ht="30" customHeight="1" x14ac:dyDescent="0.2">
      <c r="A36" s="454"/>
      <c r="B36" s="456"/>
      <c r="C36" s="472"/>
      <c r="D36" s="463"/>
      <c r="E36" s="464"/>
      <c r="F36" s="399"/>
      <c r="G36" s="170" t="s">
        <v>12</v>
      </c>
      <c r="H36" s="58">
        <f t="shared" ref="H36:Q36" si="7">SUM(H34:H35)</f>
        <v>0</v>
      </c>
      <c r="I36" s="59">
        <f t="shared" si="7"/>
        <v>0</v>
      </c>
      <c r="J36" s="59">
        <f t="shared" si="7"/>
        <v>0</v>
      </c>
      <c r="K36" s="60">
        <f t="shared" si="7"/>
        <v>0</v>
      </c>
      <c r="L36" s="58">
        <f t="shared" si="7"/>
        <v>0</v>
      </c>
      <c r="M36" s="59">
        <f t="shared" si="7"/>
        <v>0</v>
      </c>
      <c r="N36" s="59">
        <f t="shared" si="7"/>
        <v>0</v>
      </c>
      <c r="O36" s="60">
        <f t="shared" si="7"/>
        <v>0</v>
      </c>
      <c r="P36" s="62">
        <f t="shared" si="7"/>
        <v>257567</v>
      </c>
      <c r="Q36" s="62">
        <f t="shared" si="7"/>
        <v>257567</v>
      </c>
      <c r="R36" s="418"/>
      <c r="S36" s="58">
        <f>SUM(S34:S35)</f>
        <v>0</v>
      </c>
      <c r="T36" s="59">
        <f>SUM(T34:T35)</f>
        <v>0</v>
      </c>
      <c r="U36" s="60">
        <f>SUM(U34:U35)</f>
        <v>0</v>
      </c>
      <c r="V36" s="63"/>
    </row>
    <row r="37" spans="1:22" s="42" customFormat="1" x14ac:dyDescent="0.2">
      <c r="A37" s="454" t="s">
        <v>17</v>
      </c>
      <c r="B37" s="456" t="s">
        <v>17</v>
      </c>
      <c r="C37" s="358">
        <v>6</v>
      </c>
      <c r="D37" s="360" t="s">
        <v>67</v>
      </c>
      <c r="E37" s="362">
        <v>1</v>
      </c>
      <c r="F37" s="364" t="s">
        <v>182</v>
      </c>
      <c r="G37" s="169" t="s">
        <v>112</v>
      </c>
      <c r="H37" s="64">
        <f>SUM(I37:K37)</f>
        <v>435000</v>
      </c>
      <c r="I37" s="72"/>
      <c r="J37" s="72"/>
      <c r="K37" s="65">
        <v>435000</v>
      </c>
      <c r="L37" s="64">
        <f>SUM(M37:O37)</f>
        <v>84106</v>
      </c>
      <c r="M37" s="44"/>
      <c r="N37" s="44"/>
      <c r="O37" s="65">
        <f>ROUND(290400/3.4528,0)</f>
        <v>84106</v>
      </c>
      <c r="P37" s="70">
        <f>ROUND(167400/3.4528,0)</f>
        <v>48482</v>
      </c>
      <c r="Q37" s="70">
        <f>ROUND(10000/3.4528,0)</f>
        <v>2896</v>
      </c>
      <c r="R37" s="418" t="s">
        <v>151</v>
      </c>
      <c r="S37" s="345"/>
      <c r="T37" s="385"/>
      <c r="U37" s="376">
        <v>1</v>
      </c>
      <c r="V37" s="63"/>
    </row>
    <row r="38" spans="1:22" s="42" customFormat="1" x14ac:dyDescent="0.2">
      <c r="A38" s="454"/>
      <c r="B38" s="456"/>
      <c r="C38" s="359"/>
      <c r="D38" s="361"/>
      <c r="E38" s="363"/>
      <c r="F38" s="365"/>
      <c r="G38" s="169" t="s">
        <v>29</v>
      </c>
      <c r="H38" s="64">
        <f>SUM(I38:K38)</f>
        <v>289620</v>
      </c>
      <c r="I38" s="72"/>
      <c r="J38" s="72"/>
      <c r="K38" s="65">
        <f>ROUND(1000000/3.4528,0)</f>
        <v>289620</v>
      </c>
      <c r="L38" s="64">
        <f>SUM(M38:O38)</f>
        <v>289620</v>
      </c>
      <c r="M38" s="44"/>
      <c r="N38" s="44"/>
      <c r="O38" s="65">
        <f>ROUND(1000000/3.4528,0)</f>
        <v>289620</v>
      </c>
      <c r="P38" s="70">
        <f>ROUND(900000/3.4528,0)</f>
        <v>260658</v>
      </c>
      <c r="Q38" s="70">
        <f>ROUND(20000/3.4528,0)</f>
        <v>5792</v>
      </c>
      <c r="R38" s="418"/>
      <c r="S38" s="346"/>
      <c r="T38" s="386"/>
      <c r="U38" s="377"/>
      <c r="V38" s="63"/>
    </row>
    <row r="39" spans="1:22" s="42" customFormat="1" x14ac:dyDescent="0.2">
      <c r="A39" s="454"/>
      <c r="B39" s="456"/>
      <c r="C39" s="359"/>
      <c r="D39" s="361"/>
      <c r="E39" s="363"/>
      <c r="F39" s="365"/>
      <c r="G39" s="169" t="s">
        <v>258</v>
      </c>
      <c r="H39" s="64">
        <f>SUM(I39:K39)</f>
        <v>45000</v>
      </c>
      <c r="I39" s="72"/>
      <c r="J39" s="72"/>
      <c r="K39" s="65">
        <v>45000</v>
      </c>
      <c r="L39" s="64">
        <f>SUM(M39:O39)</f>
        <v>45000</v>
      </c>
      <c r="M39" s="44"/>
      <c r="N39" s="44"/>
      <c r="O39" s="65">
        <v>45000</v>
      </c>
      <c r="P39" s="70"/>
      <c r="Q39" s="70"/>
      <c r="R39" s="418"/>
      <c r="S39" s="347"/>
      <c r="T39" s="387"/>
      <c r="U39" s="378"/>
      <c r="V39" s="63"/>
    </row>
    <row r="40" spans="1:22" s="42" customFormat="1" ht="14.25" customHeight="1" x14ac:dyDescent="0.2">
      <c r="A40" s="454"/>
      <c r="B40" s="456"/>
      <c r="C40" s="410"/>
      <c r="D40" s="473"/>
      <c r="E40" s="413"/>
      <c r="F40" s="414"/>
      <c r="G40" s="170" t="s">
        <v>12</v>
      </c>
      <c r="H40" s="58">
        <f>SUM(H37:H39)</f>
        <v>769620</v>
      </c>
      <c r="I40" s="59">
        <f>SUM(I37:I39)</f>
        <v>0</v>
      </c>
      <c r="J40" s="59">
        <f>SUM(J37:J39)</f>
        <v>0</v>
      </c>
      <c r="K40" s="60">
        <f>SUM(K37:K39)</f>
        <v>769620</v>
      </c>
      <c r="L40" s="58">
        <f t="shared" ref="L40:Q40" si="8">SUM(L37:L39)</f>
        <v>418726</v>
      </c>
      <c r="M40" s="59">
        <f t="shared" si="8"/>
        <v>0</v>
      </c>
      <c r="N40" s="59">
        <f t="shared" si="8"/>
        <v>0</v>
      </c>
      <c r="O40" s="60">
        <f t="shared" si="8"/>
        <v>418726</v>
      </c>
      <c r="P40" s="62">
        <f t="shared" si="8"/>
        <v>309140</v>
      </c>
      <c r="Q40" s="62">
        <f t="shared" si="8"/>
        <v>8688</v>
      </c>
      <c r="R40" s="418"/>
      <c r="S40" s="58">
        <f>SUM(S37)</f>
        <v>0</v>
      </c>
      <c r="T40" s="59">
        <f>SUM(T37)</f>
        <v>0</v>
      </c>
      <c r="U40" s="60">
        <f>SUM(U37)</f>
        <v>1</v>
      </c>
      <c r="V40" s="63"/>
    </row>
    <row r="41" spans="1:22" s="42" customFormat="1" ht="14.25" customHeight="1" x14ac:dyDescent="0.2">
      <c r="A41" s="454">
        <v>1</v>
      </c>
      <c r="B41" s="456">
        <v>1</v>
      </c>
      <c r="C41" s="358">
        <v>7</v>
      </c>
      <c r="D41" s="360" t="s">
        <v>350</v>
      </c>
      <c r="E41" s="362">
        <v>7</v>
      </c>
      <c r="F41" s="364" t="s">
        <v>182</v>
      </c>
      <c r="G41" s="169" t="s">
        <v>56</v>
      </c>
      <c r="H41" s="64">
        <f>SUM(I41:K41)</f>
        <v>0</v>
      </c>
      <c r="I41" s="72"/>
      <c r="J41" s="72"/>
      <c r="K41" s="71"/>
      <c r="L41" s="64">
        <f>SUM(M41:O41)</f>
        <v>0</v>
      </c>
      <c r="M41" s="44"/>
      <c r="N41" s="44"/>
      <c r="O41" s="65"/>
      <c r="P41" s="70">
        <f>ROUND(500000/3.4528,0)</f>
        <v>144810</v>
      </c>
      <c r="Q41" s="70">
        <v>0</v>
      </c>
      <c r="R41" s="418" t="s">
        <v>149</v>
      </c>
      <c r="S41" s="67"/>
      <c r="T41" s="68"/>
      <c r="U41" s="69">
        <v>1</v>
      </c>
      <c r="V41" s="63"/>
    </row>
    <row r="42" spans="1:22" s="42" customFormat="1" ht="24.75" customHeight="1" x14ac:dyDescent="0.2">
      <c r="A42" s="454"/>
      <c r="B42" s="456"/>
      <c r="C42" s="410"/>
      <c r="D42" s="473"/>
      <c r="E42" s="413"/>
      <c r="F42" s="414"/>
      <c r="G42" s="170" t="s">
        <v>12</v>
      </c>
      <c r="H42" s="58">
        <f>SUM(H41:H41)</f>
        <v>0</v>
      </c>
      <c r="I42" s="59"/>
      <c r="J42" s="59"/>
      <c r="K42" s="60"/>
      <c r="L42" s="58">
        <f>SUM(L41:L41)</f>
        <v>0</v>
      </c>
      <c r="M42" s="59"/>
      <c r="N42" s="59"/>
      <c r="O42" s="60"/>
      <c r="P42" s="62">
        <f>SUM(P41:P41)</f>
        <v>144810</v>
      </c>
      <c r="Q42" s="62">
        <f>SUM(Q41:Q41)</f>
        <v>0</v>
      </c>
      <c r="R42" s="418"/>
      <c r="S42" s="58">
        <f>SUM(S41)</f>
        <v>0</v>
      </c>
      <c r="T42" s="59">
        <f>SUM(T41)</f>
        <v>0</v>
      </c>
      <c r="U42" s="60">
        <f>SUM(U41)</f>
        <v>1</v>
      </c>
      <c r="V42" s="63"/>
    </row>
    <row r="43" spans="1:22" s="42" customFormat="1" ht="20.25" customHeight="1" x14ac:dyDescent="0.2">
      <c r="A43" s="454" t="s">
        <v>17</v>
      </c>
      <c r="B43" s="456" t="s">
        <v>17</v>
      </c>
      <c r="C43" s="358">
        <v>8</v>
      </c>
      <c r="D43" s="360" t="s">
        <v>238</v>
      </c>
      <c r="E43" s="362">
        <v>7</v>
      </c>
      <c r="F43" s="364" t="s">
        <v>182</v>
      </c>
      <c r="G43" s="169" t="s">
        <v>56</v>
      </c>
      <c r="H43" s="64">
        <f>SUM(I43:K43)</f>
        <v>144810</v>
      </c>
      <c r="I43" s="72"/>
      <c r="J43" s="72"/>
      <c r="K43" s="65">
        <v>144810</v>
      </c>
      <c r="L43" s="64">
        <f>SUM(M43:O43)</f>
        <v>144810</v>
      </c>
      <c r="M43" s="44"/>
      <c r="N43" s="44"/>
      <c r="O43" s="65">
        <v>144810</v>
      </c>
      <c r="P43" s="70">
        <v>643000</v>
      </c>
      <c r="Q43" s="70">
        <v>3383000</v>
      </c>
      <c r="R43" s="418" t="s">
        <v>149</v>
      </c>
      <c r="S43" s="67"/>
      <c r="T43" s="68">
        <v>1</v>
      </c>
      <c r="U43" s="69"/>
      <c r="V43" s="63"/>
    </row>
    <row r="44" spans="1:22" s="42" customFormat="1" ht="19.5" customHeight="1" x14ac:dyDescent="0.2">
      <c r="A44" s="454"/>
      <c r="B44" s="456"/>
      <c r="C44" s="410"/>
      <c r="D44" s="473"/>
      <c r="E44" s="413"/>
      <c r="F44" s="414"/>
      <c r="G44" s="170" t="s">
        <v>12</v>
      </c>
      <c r="H44" s="58">
        <f t="shared" ref="H44:Q44" si="9">SUM(H43:H43)</f>
        <v>144810</v>
      </c>
      <c r="I44" s="59">
        <f t="shared" si="9"/>
        <v>0</v>
      </c>
      <c r="J44" s="59">
        <f t="shared" si="9"/>
        <v>0</v>
      </c>
      <c r="K44" s="60">
        <f t="shared" si="9"/>
        <v>144810</v>
      </c>
      <c r="L44" s="58">
        <f t="shared" si="9"/>
        <v>144810</v>
      </c>
      <c r="M44" s="59">
        <f t="shared" si="9"/>
        <v>0</v>
      </c>
      <c r="N44" s="59">
        <f t="shared" si="9"/>
        <v>0</v>
      </c>
      <c r="O44" s="60">
        <f t="shared" si="9"/>
        <v>144810</v>
      </c>
      <c r="P44" s="62">
        <f t="shared" si="9"/>
        <v>643000</v>
      </c>
      <c r="Q44" s="62">
        <f t="shared" si="9"/>
        <v>3383000</v>
      </c>
      <c r="R44" s="418"/>
      <c r="S44" s="58">
        <f>SUM(S43)</f>
        <v>0</v>
      </c>
      <c r="T44" s="59">
        <f>SUM(T43)</f>
        <v>1</v>
      </c>
      <c r="U44" s="60">
        <f>SUM(U43)</f>
        <v>0</v>
      </c>
      <c r="V44" s="63"/>
    </row>
    <row r="45" spans="1:22" s="42" customFormat="1" ht="20.25" customHeight="1" x14ac:dyDescent="0.2">
      <c r="A45" s="454" t="s">
        <v>17</v>
      </c>
      <c r="B45" s="456" t="s">
        <v>17</v>
      </c>
      <c r="C45" s="358">
        <v>9</v>
      </c>
      <c r="D45" s="360" t="s">
        <v>68</v>
      </c>
      <c r="E45" s="362">
        <v>8</v>
      </c>
      <c r="F45" s="364" t="s">
        <v>182</v>
      </c>
      <c r="G45" s="169" t="s">
        <v>112</v>
      </c>
      <c r="H45" s="64">
        <f>SUM(I45:K45)</f>
        <v>291792</v>
      </c>
      <c r="I45" s="72"/>
      <c r="J45" s="72"/>
      <c r="K45" s="65">
        <f>ROUND((1000000+7500)/W8,0)</f>
        <v>291792</v>
      </c>
      <c r="L45" s="64">
        <f>SUM(M45:O45)</f>
        <v>183662</v>
      </c>
      <c r="M45" s="72"/>
      <c r="N45" s="72"/>
      <c r="O45" s="65">
        <v>183662</v>
      </c>
      <c r="P45" s="70">
        <v>0</v>
      </c>
      <c r="Q45" s="75">
        <v>0</v>
      </c>
      <c r="R45" s="418" t="s">
        <v>151</v>
      </c>
      <c r="S45" s="425"/>
      <c r="T45" s="426"/>
      <c r="U45" s="369">
        <v>1</v>
      </c>
      <c r="V45" s="63"/>
    </row>
    <row r="46" spans="1:22" s="42" customFormat="1" ht="18" customHeight="1" x14ac:dyDescent="0.2">
      <c r="A46" s="454"/>
      <c r="B46" s="456"/>
      <c r="C46" s="359"/>
      <c r="D46" s="361"/>
      <c r="E46" s="363"/>
      <c r="F46" s="365"/>
      <c r="G46" s="169" t="s">
        <v>56</v>
      </c>
      <c r="H46" s="64">
        <f>SUM(I46:K46)</f>
        <v>128302</v>
      </c>
      <c r="I46" s="72"/>
      <c r="J46" s="72"/>
      <c r="K46" s="65">
        <f>ROUND(443000/$W$8,0)</f>
        <v>128302</v>
      </c>
      <c r="L46" s="64">
        <f>SUM(M46:O46)</f>
        <v>128302</v>
      </c>
      <c r="M46" s="72"/>
      <c r="N46" s="72"/>
      <c r="O46" s="65">
        <v>128302</v>
      </c>
      <c r="P46" s="70">
        <v>614000</v>
      </c>
      <c r="Q46" s="70">
        <v>449000</v>
      </c>
      <c r="R46" s="418"/>
      <c r="S46" s="425"/>
      <c r="T46" s="426"/>
      <c r="U46" s="369"/>
      <c r="V46" s="63"/>
    </row>
    <row r="47" spans="1:22" s="42" customFormat="1" ht="18.75" customHeight="1" x14ac:dyDescent="0.2">
      <c r="A47" s="454"/>
      <c r="B47" s="456"/>
      <c r="C47" s="410"/>
      <c r="D47" s="473"/>
      <c r="E47" s="413"/>
      <c r="F47" s="414"/>
      <c r="G47" s="170" t="s">
        <v>12</v>
      </c>
      <c r="H47" s="58">
        <f t="shared" ref="H47:Q47" si="10">SUM(H45:H46)</f>
        <v>420094</v>
      </c>
      <c r="I47" s="59">
        <f t="shared" si="10"/>
        <v>0</v>
      </c>
      <c r="J47" s="59">
        <f t="shared" si="10"/>
        <v>0</v>
      </c>
      <c r="K47" s="60">
        <f t="shared" si="10"/>
        <v>420094</v>
      </c>
      <c r="L47" s="58">
        <f t="shared" si="10"/>
        <v>311964</v>
      </c>
      <c r="M47" s="59">
        <f t="shared" si="10"/>
        <v>0</v>
      </c>
      <c r="N47" s="59">
        <f t="shared" si="10"/>
        <v>0</v>
      </c>
      <c r="O47" s="60">
        <f t="shared" si="10"/>
        <v>311964</v>
      </c>
      <c r="P47" s="62">
        <f t="shared" si="10"/>
        <v>614000</v>
      </c>
      <c r="Q47" s="62">
        <f t="shared" si="10"/>
        <v>449000</v>
      </c>
      <c r="R47" s="418"/>
      <c r="S47" s="58">
        <f>SUM(S45)</f>
        <v>0</v>
      </c>
      <c r="T47" s="59">
        <f>SUM(T45)</f>
        <v>0</v>
      </c>
      <c r="U47" s="60">
        <f>SUM(U45)</f>
        <v>1</v>
      </c>
      <c r="V47" s="63"/>
    </row>
    <row r="48" spans="1:22" s="42" customFormat="1" x14ac:dyDescent="0.2">
      <c r="A48" s="454" t="s">
        <v>17</v>
      </c>
      <c r="B48" s="456" t="s">
        <v>17</v>
      </c>
      <c r="C48" s="472">
        <v>10</v>
      </c>
      <c r="D48" s="360" t="s">
        <v>69</v>
      </c>
      <c r="E48" s="362">
        <v>9</v>
      </c>
      <c r="F48" s="364" t="s">
        <v>182</v>
      </c>
      <c r="G48" s="169" t="s">
        <v>112</v>
      </c>
      <c r="H48" s="64">
        <f>SUM(I48:K48)</f>
        <v>132501</v>
      </c>
      <c r="I48" s="44"/>
      <c r="J48" s="44"/>
      <c r="K48" s="65">
        <f>ROUND((450000+7500)/3.4528,0)</f>
        <v>132501</v>
      </c>
      <c r="L48" s="64">
        <f>SUM(M48:O48)</f>
        <v>132501</v>
      </c>
      <c r="M48" s="44"/>
      <c r="N48" s="44"/>
      <c r="O48" s="65">
        <v>132501</v>
      </c>
      <c r="P48" s="75"/>
      <c r="Q48" s="75"/>
      <c r="R48" s="418" t="s">
        <v>151</v>
      </c>
      <c r="S48" s="345">
        <v>1</v>
      </c>
      <c r="T48" s="348"/>
      <c r="U48" s="351"/>
      <c r="V48" s="63"/>
    </row>
    <row r="49" spans="1:22" s="42" customFormat="1" x14ac:dyDescent="0.2">
      <c r="A49" s="454"/>
      <c r="B49" s="456"/>
      <c r="C49" s="472"/>
      <c r="D49" s="361"/>
      <c r="E49" s="363"/>
      <c r="F49" s="365"/>
      <c r="G49" s="169" t="s">
        <v>55</v>
      </c>
      <c r="H49" s="64">
        <f>SUM(I49:K49)</f>
        <v>31029</v>
      </c>
      <c r="I49" s="44"/>
      <c r="J49" s="44"/>
      <c r="K49" s="65">
        <f>ROUND(107136/3.4528,0)</f>
        <v>31029</v>
      </c>
      <c r="L49" s="64">
        <f>SUM(M49:O49)</f>
        <v>31029</v>
      </c>
      <c r="M49" s="44"/>
      <c r="N49" s="44"/>
      <c r="O49" s="65">
        <v>31029</v>
      </c>
      <c r="P49" s="75"/>
      <c r="Q49" s="75"/>
      <c r="R49" s="418"/>
      <c r="S49" s="346"/>
      <c r="T49" s="349"/>
      <c r="U49" s="352"/>
      <c r="V49" s="63"/>
    </row>
    <row r="50" spans="1:22" s="42" customFormat="1" x14ac:dyDescent="0.2">
      <c r="A50" s="454"/>
      <c r="B50" s="456"/>
      <c r="C50" s="472"/>
      <c r="D50" s="361"/>
      <c r="E50" s="363"/>
      <c r="F50" s="365"/>
      <c r="G50" s="169" t="s">
        <v>29</v>
      </c>
      <c r="H50" s="64">
        <f>SUM(I50:K50)</f>
        <v>3448</v>
      </c>
      <c r="I50" s="44"/>
      <c r="J50" s="44"/>
      <c r="K50" s="65">
        <f>ROUND(11904/3.4528,0)</f>
        <v>3448</v>
      </c>
      <c r="L50" s="64">
        <f>SUM(M50:O50)</f>
        <v>3448</v>
      </c>
      <c r="M50" s="44"/>
      <c r="N50" s="44"/>
      <c r="O50" s="65">
        <v>3448</v>
      </c>
      <c r="P50" s="75"/>
      <c r="Q50" s="75"/>
      <c r="R50" s="418"/>
      <c r="S50" s="347"/>
      <c r="T50" s="350"/>
      <c r="U50" s="353"/>
      <c r="V50" s="63"/>
    </row>
    <row r="51" spans="1:22" s="42" customFormat="1" x14ac:dyDescent="0.2">
      <c r="A51" s="454"/>
      <c r="B51" s="456"/>
      <c r="C51" s="472"/>
      <c r="D51" s="361"/>
      <c r="E51" s="363"/>
      <c r="F51" s="365"/>
      <c r="G51" s="169" t="s">
        <v>258</v>
      </c>
      <c r="H51" s="64">
        <f>SUM(I51:K51)</f>
        <v>87000</v>
      </c>
      <c r="I51" s="44"/>
      <c r="J51" s="44"/>
      <c r="K51" s="65">
        <v>87000</v>
      </c>
      <c r="L51" s="64">
        <f>SUM(M51:O51)</f>
        <v>73068</v>
      </c>
      <c r="M51" s="44"/>
      <c r="N51" s="44"/>
      <c r="O51" s="65">
        <f>87000-13932</f>
        <v>73068</v>
      </c>
      <c r="P51" s="75"/>
      <c r="Q51" s="75"/>
      <c r="R51" s="418"/>
      <c r="S51" s="138"/>
      <c r="T51" s="139"/>
      <c r="U51" s="141"/>
      <c r="V51" s="63"/>
    </row>
    <row r="52" spans="1:22" s="42" customFormat="1" ht="10.5" x14ac:dyDescent="0.2">
      <c r="A52" s="454"/>
      <c r="B52" s="456"/>
      <c r="C52" s="472"/>
      <c r="D52" s="473"/>
      <c r="E52" s="413"/>
      <c r="F52" s="414"/>
      <c r="G52" s="170" t="s">
        <v>12</v>
      </c>
      <c r="H52" s="58">
        <f t="shared" ref="H52:Q52" si="11">SUM(H48:H51)</f>
        <v>253978</v>
      </c>
      <c r="I52" s="59">
        <f t="shared" si="11"/>
        <v>0</v>
      </c>
      <c r="J52" s="59">
        <f t="shared" si="11"/>
        <v>0</v>
      </c>
      <c r="K52" s="60">
        <f t="shared" si="11"/>
        <v>253978</v>
      </c>
      <c r="L52" s="58">
        <f t="shared" si="11"/>
        <v>240046</v>
      </c>
      <c r="M52" s="59">
        <f t="shared" si="11"/>
        <v>0</v>
      </c>
      <c r="N52" s="59">
        <f t="shared" si="11"/>
        <v>0</v>
      </c>
      <c r="O52" s="60">
        <f t="shared" si="11"/>
        <v>240046</v>
      </c>
      <c r="P52" s="62">
        <f t="shared" si="11"/>
        <v>0</v>
      </c>
      <c r="Q52" s="62">
        <f t="shared" si="11"/>
        <v>0</v>
      </c>
      <c r="R52" s="418"/>
      <c r="S52" s="58">
        <f>S48</f>
        <v>1</v>
      </c>
      <c r="T52" s="59">
        <f>T48</f>
        <v>0</v>
      </c>
      <c r="U52" s="60">
        <f>U48</f>
        <v>0</v>
      </c>
      <c r="V52" s="63"/>
    </row>
    <row r="53" spans="1:22" s="42" customFormat="1" ht="15" customHeight="1" x14ac:dyDescent="0.2">
      <c r="A53" s="454" t="s">
        <v>17</v>
      </c>
      <c r="B53" s="456" t="s">
        <v>17</v>
      </c>
      <c r="C53" s="462">
        <v>11</v>
      </c>
      <c r="D53" s="360" t="s">
        <v>231</v>
      </c>
      <c r="E53" s="362">
        <v>9</v>
      </c>
      <c r="F53" s="364" t="s">
        <v>182</v>
      </c>
      <c r="G53" s="169" t="s">
        <v>112</v>
      </c>
      <c r="H53" s="76">
        <f>SUM(I53:K53)</f>
        <v>5673</v>
      </c>
      <c r="I53" s="72"/>
      <c r="J53" s="72"/>
      <c r="K53" s="65">
        <v>5673</v>
      </c>
      <c r="L53" s="76">
        <f>SUM(M53:O53)</f>
        <v>5673</v>
      </c>
      <c r="M53" s="72"/>
      <c r="N53" s="72"/>
      <c r="O53" s="65">
        <v>5673</v>
      </c>
      <c r="P53" s="70">
        <v>5673</v>
      </c>
      <c r="Q53" s="70">
        <v>5673</v>
      </c>
      <c r="R53" s="418" t="s">
        <v>151</v>
      </c>
      <c r="S53" s="345"/>
      <c r="T53" s="385"/>
      <c r="U53" s="376">
        <v>3</v>
      </c>
      <c r="V53" s="63"/>
    </row>
    <row r="54" spans="1:22" s="42" customFormat="1" ht="15" customHeight="1" x14ac:dyDescent="0.2">
      <c r="A54" s="454"/>
      <c r="B54" s="456"/>
      <c r="C54" s="462"/>
      <c r="D54" s="361"/>
      <c r="E54" s="363"/>
      <c r="F54" s="365"/>
      <c r="G54" s="169" t="s">
        <v>55</v>
      </c>
      <c r="H54" s="76">
        <f>SUM(I54:K54)</f>
        <v>128591</v>
      </c>
      <c r="I54" s="72"/>
      <c r="J54" s="72"/>
      <c r="K54" s="65">
        <v>128591</v>
      </c>
      <c r="L54" s="76">
        <f>SUM(M54:O54)</f>
        <v>128591</v>
      </c>
      <c r="M54" s="72"/>
      <c r="N54" s="72"/>
      <c r="O54" s="65">
        <v>128591</v>
      </c>
      <c r="P54" s="70">
        <v>128951</v>
      </c>
      <c r="Q54" s="70">
        <v>128951</v>
      </c>
      <c r="R54" s="418"/>
      <c r="S54" s="346"/>
      <c r="T54" s="386"/>
      <c r="U54" s="377"/>
      <c r="V54" s="63"/>
    </row>
    <row r="55" spans="1:22" s="42" customFormat="1" ht="15" customHeight="1" x14ac:dyDescent="0.2">
      <c r="A55" s="454"/>
      <c r="B55" s="456"/>
      <c r="C55" s="462"/>
      <c r="D55" s="361"/>
      <c r="E55" s="363"/>
      <c r="F55" s="365"/>
      <c r="G55" s="169" t="s">
        <v>29</v>
      </c>
      <c r="H55" s="76">
        <f>SUM(I55:K55)</f>
        <v>5673</v>
      </c>
      <c r="I55" s="72"/>
      <c r="J55" s="72"/>
      <c r="K55" s="65">
        <v>5673</v>
      </c>
      <c r="L55" s="76">
        <f>SUM(M55:O55)</f>
        <v>5673</v>
      </c>
      <c r="M55" s="72"/>
      <c r="N55" s="72"/>
      <c r="O55" s="65">
        <v>5673</v>
      </c>
      <c r="P55" s="70">
        <v>5673</v>
      </c>
      <c r="Q55" s="70">
        <v>5673</v>
      </c>
      <c r="R55" s="418"/>
      <c r="S55" s="347"/>
      <c r="T55" s="387"/>
      <c r="U55" s="378"/>
      <c r="V55" s="63"/>
    </row>
    <row r="56" spans="1:22" s="42" customFormat="1" ht="18.75" customHeight="1" x14ac:dyDescent="0.2">
      <c r="A56" s="454"/>
      <c r="B56" s="456"/>
      <c r="C56" s="462"/>
      <c r="D56" s="473"/>
      <c r="E56" s="413"/>
      <c r="F56" s="414"/>
      <c r="G56" s="170" t="s">
        <v>12</v>
      </c>
      <c r="H56" s="58">
        <f t="shared" ref="H56:Q56" si="12">SUM(H53:H55)</f>
        <v>139937</v>
      </c>
      <c r="I56" s="59">
        <f t="shared" si="12"/>
        <v>0</v>
      </c>
      <c r="J56" s="59">
        <f t="shared" si="12"/>
        <v>0</v>
      </c>
      <c r="K56" s="60">
        <f t="shared" si="12"/>
        <v>139937</v>
      </c>
      <c r="L56" s="58">
        <f t="shared" si="12"/>
        <v>139937</v>
      </c>
      <c r="M56" s="59">
        <f t="shared" si="12"/>
        <v>0</v>
      </c>
      <c r="N56" s="59">
        <f t="shared" si="12"/>
        <v>0</v>
      </c>
      <c r="O56" s="60">
        <f t="shared" si="12"/>
        <v>139937</v>
      </c>
      <c r="P56" s="62">
        <f t="shared" si="12"/>
        <v>140297</v>
      </c>
      <c r="Q56" s="62">
        <f t="shared" si="12"/>
        <v>140297</v>
      </c>
      <c r="R56" s="418"/>
      <c r="S56" s="58">
        <f>SUM(S53)</f>
        <v>0</v>
      </c>
      <c r="T56" s="59">
        <f>SUM(T53)</f>
        <v>0</v>
      </c>
      <c r="U56" s="60">
        <f>SUM(U53)</f>
        <v>3</v>
      </c>
      <c r="V56" s="63"/>
    </row>
    <row r="57" spans="1:22" s="42" customFormat="1" x14ac:dyDescent="0.2">
      <c r="A57" s="454" t="s">
        <v>17</v>
      </c>
      <c r="B57" s="456" t="s">
        <v>17</v>
      </c>
      <c r="C57" s="359">
        <v>12</v>
      </c>
      <c r="D57" s="360" t="s">
        <v>70</v>
      </c>
      <c r="E57" s="362">
        <v>8</v>
      </c>
      <c r="F57" s="364" t="s">
        <v>182</v>
      </c>
      <c r="G57" s="169" t="s">
        <v>112</v>
      </c>
      <c r="H57" s="64">
        <f>K57</f>
        <v>10137</v>
      </c>
      <c r="I57" s="72"/>
      <c r="J57" s="72"/>
      <c r="K57" s="65">
        <f>ROUND(35000/3.4528,0)</f>
        <v>10137</v>
      </c>
      <c r="L57" s="64">
        <f>SUM(M57:O57)</f>
        <v>10137</v>
      </c>
      <c r="M57" s="44"/>
      <c r="N57" s="44"/>
      <c r="O57" s="65">
        <f>ROUND(35000/3.4528,0)</f>
        <v>10137</v>
      </c>
      <c r="P57" s="75"/>
      <c r="Q57" s="75"/>
      <c r="R57" s="418" t="s">
        <v>151</v>
      </c>
      <c r="S57" s="345">
        <v>1</v>
      </c>
      <c r="T57" s="385"/>
      <c r="U57" s="376"/>
      <c r="V57" s="63"/>
    </row>
    <row r="58" spans="1:22" s="42" customFormat="1" x14ac:dyDescent="0.2">
      <c r="A58" s="454"/>
      <c r="B58" s="456"/>
      <c r="C58" s="359"/>
      <c r="D58" s="361"/>
      <c r="E58" s="363"/>
      <c r="F58" s="365"/>
      <c r="G58" s="169" t="s">
        <v>55</v>
      </c>
      <c r="H58" s="64">
        <f>SUM(I58:K58)</f>
        <v>30120</v>
      </c>
      <c r="I58" s="72"/>
      <c r="J58" s="72"/>
      <c r="K58" s="65">
        <f>ROUND(104000/3.4528,0)</f>
        <v>30120</v>
      </c>
      <c r="L58" s="64">
        <f>SUM(M58:O58)</f>
        <v>30120</v>
      </c>
      <c r="M58" s="44"/>
      <c r="N58" s="44"/>
      <c r="O58" s="65">
        <f>ROUND(104000/3.4528,0)</f>
        <v>30120</v>
      </c>
      <c r="P58" s="75"/>
      <c r="Q58" s="75"/>
      <c r="R58" s="418"/>
      <c r="S58" s="346"/>
      <c r="T58" s="386"/>
      <c r="U58" s="377"/>
      <c r="V58" s="63"/>
    </row>
    <row r="59" spans="1:22" s="42" customFormat="1" x14ac:dyDescent="0.2">
      <c r="A59" s="454"/>
      <c r="B59" s="456"/>
      <c r="C59" s="359"/>
      <c r="D59" s="361"/>
      <c r="E59" s="363"/>
      <c r="F59" s="365"/>
      <c r="G59" s="169" t="s">
        <v>29</v>
      </c>
      <c r="H59" s="64">
        <f>SUM(I59:K59)</f>
        <v>20563</v>
      </c>
      <c r="I59" s="72"/>
      <c r="J59" s="72"/>
      <c r="K59" s="65">
        <f>ROUND(71000/3.4528,0)</f>
        <v>20563</v>
      </c>
      <c r="L59" s="64">
        <f>SUM(M59:O59)</f>
        <v>20563</v>
      </c>
      <c r="M59" s="44"/>
      <c r="N59" s="44"/>
      <c r="O59" s="65">
        <f>ROUND(71000/3.4528,0)</f>
        <v>20563</v>
      </c>
      <c r="P59" s="75"/>
      <c r="Q59" s="75"/>
      <c r="R59" s="418"/>
      <c r="S59" s="346"/>
      <c r="T59" s="386"/>
      <c r="U59" s="377"/>
      <c r="V59" s="63"/>
    </row>
    <row r="60" spans="1:22" s="42" customFormat="1" x14ac:dyDescent="0.2">
      <c r="A60" s="454"/>
      <c r="B60" s="456"/>
      <c r="C60" s="359"/>
      <c r="D60" s="361"/>
      <c r="E60" s="363"/>
      <c r="F60" s="365"/>
      <c r="G60" s="169" t="s">
        <v>258</v>
      </c>
      <c r="H60" s="64">
        <f>SUM(I60:K60)</f>
        <v>45725</v>
      </c>
      <c r="I60" s="72"/>
      <c r="J60" s="72"/>
      <c r="K60" s="65">
        <v>45725</v>
      </c>
      <c r="L60" s="64">
        <f>SUM(M60:O60)</f>
        <v>45725</v>
      </c>
      <c r="M60" s="44"/>
      <c r="N60" s="44"/>
      <c r="O60" s="65">
        <v>45725</v>
      </c>
      <c r="P60" s="75"/>
      <c r="Q60" s="75"/>
      <c r="R60" s="418"/>
      <c r="S60" s="347"/>
      <c r="T60" s="387"/>
      <c r="U60" s="378"/>
      <c r="V60" s="63"/>
    </row>
    <row r="61" spans="1:22" s="42" customFormat="1" ht="10.5" x14ac:dyDescent="0.2">
      <c r="A61" s="454"/>
      <c r="B61" s="456"/>
      <c r="C61" s="410"/>
      <c r="D61" s="473"/>
      <c r="E61" s="413"/>
      <c r="F61" s="414"/>
      <c r="G61" s="170" t="s">
        <v>12</v>
      </c>
      <c r="H61" s="58">
        <f t="shared" ref="H61:Q61" si="13">SUM(H57:H60)</f>
        <v>106545</v>
      </c>
      <c r="I61" s="59">
        <f t="shared" si="13"/>
        <v>0</v>
      </c>
      <c r="J61" s="59">
        <f t="shared" si="13"/>
        <v>0</v>
      </c>
      <c r="K61" s="60">
        <f t="shared" si="13"/>
        <v>106545</v>
      </c>
      <c r="L61" s="58">
        <f t="shared" si="13"/>
        <v>106545</v>
      </c>
      <c r="M61" s="59">
        <f t="shared" si="13"/>
        <v>0</v>
      </c>
      <c r="N61" s="59">
        <f t="shared" si="13"/>
        <v>0</v>
      </c>
      <c r="O61" s="60">
        <f t="shared" si="13"/>
        <v>106545</v>
      </c>
      <c r="P61" s="62">
        <f t="shared" si="13"/>
        <v>0</v>
      </c>
      <c r="Q61" s="62">
        <f t="shared" si="13"/>
        <v>0</v>
      </c>
      <c r="R61" s="418"/>
      <c r="S61" s="58">
        <f>SUM(S57)</f>
        <v>1</v>
      </c>
      <c r="T61" s="59">
        <f>SUM(T57)</f>
        <v>0</v>
      </c>
      <c r="U61" s="60">
        <f>SUM(U57)</f>
        <v>0</v>
      </c>
      <c r="V61" s="63"/>
    </row>
    <row r="62" spans="1:22" s="42" customFormat="1" ht="18" customHeight="1" x14ac:dyDescent="0.2">
      <c r="A62" s="454" t="s">
        <v>17</v>
      </c>
      <c r="B62" s="456" t="s">
        <v>17</v>
      </c>
      <c r="C62" s="358">
        <v>13</v>
      </c>
      <c r="D62" s="360" t="s">
        <v>183</v>
      </c>
      <c r="E62" s="362">
        <v>9</v>
      </c>
      <c r="F62" s="364" t="s">
        <v>182</v>
      </c>
      <c r="G62" s="169" t="s">
        <v>84</v>
      </c>
      <c r="H62" s="64">
        <f>SUM(I62:K62)</f>
        <v>28962</v>
      </c>
      <c r="I62" s="44">
        <v>28962</v>
      </c>
      <c r="J62" s="44"/>
      <c r="K62" s="65"/>
      <c r="L62" s="64">
        <f>SUM(M62:O62)</f>
        <v>0</v>
      </c>
      <c r="M62" s="44"/>
      <c r="N62" s="44"/>
      <c r="O62" s="65">
        <v>0</v>
      </c>
      <c r="P62" s="70"/>
      <c r="Q62" s="70"/>
      <c r="R62" s="418" t="s">
        <v>151</v>
      </c>
      <c r="S62" s="64"/>
      <c r="T62" s="44"/>
      <c r="U62" s="65">
        <v>1</v>
      </c>
      <c r="V62" s="63"/>
    </row>
    <row r="63" spans="1:22" s="42" customFormat="1" ht="19.5" customHeight="1" x14ac:dyDescent="0.2">
      <c r="A63" s="454"/>
      <c r="B63" s="456"/>
      <c r="C63" s="410"/>
      <c r="D63" s="473"/>
      <c r="E63" s="413"/>
      <c r="F63" s="414"/>
      <c r="G63" s="170" t="s">
        <v>12</v>
      </c>
      <c r="H63" s="58">
        <f t="shared" ref="H63:Q63" si="14">SUM(H62:H62)</f>
        <v>28962</v>
      </c>
      <c r="I63" s="59">
        <f t="shared" si="14"/>
        <v>28962</v>
      </c>
      <c r="J63" s="59">
        <f t="shared" si="14"/>
        <v>0</v>
      </c>
      <c r="K63" s="60">
        <f t="shared" si="14"/>
        <v>0</v>
      </c>
      <c r="L63" s="58">
        <f t="shared" si="14"/>
        <v>0</v>
      </c>
      <c r="M63" s="59">
        <f t="shared" si="14"/>
        <v>0</v>
      </c>
      <c r="N63" s="59">
        <f t="shared" si="14"/>
        <v>0</v>
      </c>
      <c r="O63" s="60">
        <f t="shared" si="14"/>
        <v>0</v>
      </c>
      <c r="P63" s="62">
        <f t="shared" si="14"/>
        <v>0</v>
      </c>
      <c r="Q63" s="62">
        <f t="shared" si="14"/>
        <v>0</v>
      </c>
      <c r="R63" s="418"/>
      <c r="S63" s="58">
        <f>SUM(S62:S62)</f>
        <v>0</v>
      </c>
      <c r="T63" s="59">
        <f>SUM(T62:T62)</f>
        <v>0</v>
      </c>
      <c r="U63" s="60">
        <f>SUM(U62:U62)</f>
        <v>1</v>
      </c>
      <c r="V63" s="63"/>
    </row>
    <row r="64" spans="1:22" s="42" customFormat="1" x14ac:dyDescent="0.2">
      <c r="A64" s="454" t="s">
        <v>17</v>
      </c>
      <c r="B64" s="456" t="s">
        <v>17</v>
      </c>
      <c r="C64" s="348">
        <v>14</v>
      </c>
      <c r="D64" s="463" t="s">
        <v>117</v>
      </c>
      <c r="E64" s="464">
        <v>8</v>
      </c>
      <c r="F64" s="398" t="s">
        <v>261</v>
      </c>
      <c r="G64" s="169" t="s">
        <v>112</v>
      </c>
      <c r="H64" s="64">
        <f>SUM(I64:K64)</f>
        <v>30845</v>
      </c>
      <c r="I64" s="78"/>
      <c r="J64" s="78"/>
      <c r="K64" s="65">
        <f>ROUND(106500/3.4528,0)</f>
        <v>30845</v>
      </c>
      <c r="L64" s="64">
        <f>SUM(M64:O64)</f>
        <v>30845</v>
      </c>
      <c r="M64" s="44"/>
      <c r="N64" s="44"/>
      <c r="O64" s="65">
        <f>ROUND(106500/3.4528,0)</f>
        <v>30845</v>
      </c>
      <c r="P64" s="70">
        <f>ROUND(106500/3.4528,0)</f>
        <v>30845</v>
      </c>
      <c r="Q64" s="70">
        <f>ROUND(16500/3.4528,0)</f>
        <v>4779</v>
      </c>
      <c r="R64" s="423" t="s">
        <v>149</v>
      </c>
      <c r="S64" s="425"/>
      <c r="T64" s="426"/>
      <c r="U64" s="369">
        <v>1</v>
      </c>
      <c r="V64" s="63"/>
    </row>
    <row r="65" spans="1:22" s="42" customFormat="1" x14ac:dyDescent="0.2">
      <c r="A65" s="454"/>
      <c r="B65" s="456"/>
      <c r="C65" s="349"/>
      <c r="D65" s="534"/>
      <c r="E65" s="464"/>
      <c r="F65" s="399"/>
      <c r="G65" s="169" t="s">
        <v>55</v>
      </c>
      <c r="H65" s="64">
        <f>SUM(I65:K65)</f>
        <v>188977</v>
      </c>
      <c r="I65" s="78"/>
      <c r="J65" s="78"/>
      <c r="K65" s="65">
        <f>ROUND(652500/3.4528,0)</f>
        <v>188977</v>
      </c>
      <c r="L65" s="64">
        <f>SUM(M65:O65)</f>
        <v>188977</v>
      </c>
      <c r="M65" s="44"/>
      <c r="N65" s="44"/>
      <c r="O65" s="65">
        <f>ROUND(652500/3.4528,0)</f>
        <v>188977</v>
      </c>
      <c r="P65" s="70">
        <f>ROUND(652500/3.4528,0)</f>
        <v>188977</v>
      </c>
      <c r="Q65" s="70">
        <f>ROUND(62500/3.4528,0)</f>
        <v>18101</v>
      </c>
      <c r="R65" s="423"/>
      <c r="S65" s="425"/>
      <c r="T65" s="426"/>
      <c r="U65" s="369"/>
      <c r="V65" s="63"/>
    </row>
    <row r="66" spans="1:22" s="42" customFormat="1" ht="27.75" customHeight="1" x14ac:dyDescent="0.2">
      <c r="A66" s="454"/>
      <c r="B66" s="456"/>
      <c r="C66" s="350"/>
      <c r="D66" s="534"/>
      <c r="E66" s="464"/>
      <c r="F66" s="399"/>
      <c r="G66" s="170" t="s">
        <v>12</v>
      </c>
      <c r="H66" s="58">
        <f t="shared" ref="H66:Q66" si="15">SUM(H64:H65)</f>
        <v>219822</v>
      </c>
      <c r="I66" s="59">
        <f t="shared" si="15"/>
        <v>0</v>
      </c>
      <c r="J66" s="59">
        <f t="shared" si="15"/>
        <v>0</v>
      </c>
      <c r="K66" s="60">
        <f t="shared" si="15"/>
        <v>219822</v>
      </c>
      <c r="L66" s="58">
        <f t="shared" si="15"/>
        <v>219822</v>
      </c>
      <c r="M66" s="59">
        <f t="shared" si="15"/>
        <v>0</v>
      </c>
      <c r="N66" s="59">
        <f t="shared" si="15"/>
        <v>0</v>
      </c>
      <c r="O66" s="60">
        <f t="shared" si="15"/>
        <v>219822</v>
      </c>
      <c r="P66" s="62">
        <f t="shared" si="15"/>
        <v>219822</v>
      </c>
      <c r="Q66" s="62">
        <f t="shared" si="15"/>
        <v>22880</v>
      </c>
      <c r="R66" s="423"/>
      <c r="S66" s="58">
        <f>SUM(S64:S65)</f>
        <v>0</v>
      </c>
      <c r="T66" s="59">
        <f>SUM(T64:T65)</f>
        <v>0</v>
      </c>
      <c r="U66" s="60">
        <f>SUM(U64:U65)</f>
        <v>1</v>
      </c>
      <c r="V66" s="63"/>
    </row>
    <row r="67" spans="1:22" s="42" customFormat="1" ht="22.5" hidden="1" outlineLevel="1" x14ac:dyDescent="0.2">
      <c r="A67" s="599"/>
      <c r="B67" s="590"/>
      <c r="C67" s="590"/>
      <c r="D67" s="142" t="s">
        <v>344</v>
      </c>
      <c r="E67" s="593"/>
      <c r="F67" s="602"/>
      <c r="G67" s="190" t="s">
        <v>112</v>
      </c>
      <c r="H67" s="186">
        <f>SUM(I67:K67)</f>
        <v>4792</v>
      </c>
      <c r="I67" s="178"/>
      <c r="J67" s="178"/>
      <c r="K67" s="191">
        <v>4792</v>
      </c>
      <c r="L67" s="186">
        <f>SUM(M67:O67)</f>
        <v>4792</v>
      </c>
      <c r="M67" s="178"/>
      <c r="N67" s="178"/>
      <c r="O67" s="191">
        <v>4792</v>
      </c>
      <c r="P67" s="247"/>
      <c r="Q67" s="247"/>
      <c r="R67" s="262"/>
      <c r="S67" s="248"/>
      <c r="T67" s="249"/>
      <c r="U67" s="250"/>
      <c r="V67" s="63"/>
    </row>
    <row r="68" spans="1:22" s="42" customFormat="1" hidden="1" outlineLevel="1" x14ac:dyDescent="0.2">
      <c r="A68" s="600"/>
      <c r="B68" s="591"/>
      <c r="C68" s="591"/>
      <c r="D68" s="532" t="s">
        <v>341</v>
      </c>
      <c r="E68" s="594"/>
      <c r="F68" s="603"/>
      <c r="G68" s="190" t="s">
        <v>112</v>
      </c>
      <c r="H68" s="186">
        <f>SUM(I68:K68)</f>
        <v>26053</v>
      </c>
      <c r="I68" s="178"/>
      <c r="J68" s="178"/>
      <c r="K68" s="191">
        <f>K64-K67</f>
        <v>26053</v>
      </c>
      <c r="L68" s="186">
        <f>SUM(M68:O68)</f>
        <v>26053</v>
      </c>
      <c r="M68" s="178"/>
      <c r="N68" s="178"/>
      <c r="O68" s="191">
        <f>O64-O67</f>
        <v>26053</v>
      </c>
      <c r="P68" s="247">
        <f>P64</f>
        <v>30845</v>
      </c>
      <c r="Q68" s="247">
        <f>Q64</f>
        <v>4779</v>
      </c>
      <c r="R68" s="262"/>
      <c r="S68" s="248"/>
      <c r="T68" s="249"/>
      <c r="U68" s="250"/>
      <c r="V68" s="63"/>
    </row>
    <row r="69" spans="1:22" s="42" customFormat="1" hidden="1" outlineLevel="1" x14ac:dyDescent="0.2">
      <c r="A69" s="601"/>
      <c r="B69" s="592"/>
      <c r="C69" s="592"/>
      <c r="D69" s="533"/>
      <c r="E69" s="595"/>
      <c r="F69" s="604"/>
      <c r="G69" s="190" t="s">
        <v>56</v>
      </c>
      <c r="H69" s="186">
        <f t="shared" ref="H69:O69" si="16">H65</f>
        <v>188977</v>
      </c>
      <c r="I69" s="178">
        <f t="shared" si="16"/>
        <v>0</v>
      </c>
      <c r="J69" s="178">
        <f t="shared" si="16"/>
        <v>0</v>
      </c>
      <c r="K69" s="191">
        <f t="shared" si="16"/>
        <v>188977</v>
      </c>
      <c r="L69" s="186">
        <f t="shared" si="16"/>
        <v>188977</v>
      </c>
      <c r="M69" s="178">
        <f t="shared" si="16"/>
        <v>0</v>
      </c>
      <c r="N69" s="178">
        <f t="shared" si="16"/>
        <v>0</v>
      </c>
      <c r="O69" s="191">
        <f t="shared" si="16"/>
        <v>188977</v>
      </c>
      <c r="P69" s="247">
        <f>P65</f>
        <v>188977</v>
      </c>
      <c r="Q69" s="247">
        <f>Q65</f>
        <v>18101</v>
      </c>
      <c r="R69" s="262"/>
      <c r="S69" s="248"/>
      <c r="T69" s="249"/>
      <c r="U69" s="250"/>
      <c r="V69" s="63"/>
    </row>
    <row r="70" spans="1:22" s="42" customFormat="1" ht="13.5" customHeight="1" collapsed="1" x14ac:dyDescent="0.2">
      <c r="A70" s="454" t="s">
        <v>17</v>
      </c>
      <c r="B70" s="456" t="s">
        <v>17</v>
      </c>
      <c r="C70" s="348">
        <v>15</v>
      </c>
      <c r="D70" s="360" t="s">
        <v>264</v>
      </c>
      <c r="E70" s="464">
        <v>8</v>
      </c>
      <c r="F70" s="398" t="s">
        <v>182</v>
      </c>
      <c r="G70" s="169" t="s">
        <v>112</v>
      </c>
      <c r="H70" s="64">
        <f>SUM(I70:K70)</f>
        <v>0</v>
      </c>
      <c r="I70" s="78"/>
      <c r="J70" s="78"/>
      <c r="K70" s="135"/>
      <c r="L70" s="64">
        <f>SUM(M70:O70)</f>
        <v>0</v>
      </c>
      <c r="M70" s="44"/>
      <c r="N70" s="44"/>
      <c r="O70" s="71"/>
      <c r="P70" s="80">
        <v>83300</v>
      </c>
      <c r="Q70" s="80">
        <v>83300</v>
      </c>
      <c r="R70" s="423" t="s">
        <v>149</v>
      </c>
      <c r="S70" s="425"/>
      <c r="T70" s="426"/>
      <c r="U70" s="369">
        <v>1</v>
      </c>
      <c r="V70" s="63"/>
    </row>
    <row r="71" spans="1:22" s="42" customFormat="1" ht="14.25" customHeight="1" x14ac:dyDescent="0.2">
      <c r="A71" s="454"/>
      <c r="B71" s="456"/>
      <c r="C71" s="349"/>
      <c r="D71" s="361"/>
      <c r="E71" s="464"/>
      <c r="F71" s="399"/>
      <c r="G71" s="169" t="s">
        <v>56</v>
      </c>
      <c r="H71" s="64">
        <f>SUM(I71:K71)</f>
        <v>57924</v>
      </c>
      <c r="I71" s="78"/>
      <c r="J71" s="78"/>
      <c r="K71" s="65">
        <f>ROUND(200000/$W$8,0)</f>
        <v>57924</v>
      </c>
      <c r="L71" s="64">
        <f>SUM(M71:O71)</f>
        <v>57924</v>
      </c>
      <c r="M71" s="44"/>
      <c r="N71" s="44"/>
      <c r="O71" s="65">
        <v>57924</v>
      </c>
      <c r="P71" s="80">
        <v>333200</v>
      </c>
      <c r="Q71" s="80">
        <v>333200</v>
      </c>
      <c r="R71" s="423"/>
      <c r="S71" s="425"/>
      <c r="T71" s="426"/>
      <c r="U71" s="369"/>
      <c r="V71" s="63"/>
    </row>
    <row r="72" spans="1:22" s="42" customFormat="1" ht="39" customHeight="1" x14ac:dyDescent="0.2">
      <c r="A72" s="454"/>
      <c r="B72" s="456"/>
      <c r="C72" s="350"/>
      <c r="D72" s="473"/>
      <c r="E72" s="464"/>
      <c r="F72" s="399"/>
      <c r="G72" s="170" t="s">
        <v>12</v>
      </c>
      <c r="H72" s="58">
        <f t="shared" ref="H72:Q72" si="17">SUM(H70:H71)</f>
        <v>57924</v>
      </c>
      <c r="I72" s="59">
        <f t="shared" si="17"/>
        <v>0</v>
      </c>
      <c r="J72" s="59">
        <f t="shared" si="17"/>
        <v>0</v>
      </c>
      <c r="K72" s="60">
        <f t="shared" si="17"/>
        <v>57924</v>
      </c>
      <c r="L72" s="58">
        <f t="shared" si="17"/>
        <v>57924</v>
      </c>
      <c r="M72" s="59">
        <f t="shared" si="17"/>
        <v>0</v>
      </c>
      <c r="N72" s="59">
        <f t="shared" si="17"/>
        <v>0</v>
      </c>
      <c r="O72" s="60">
        <f t="shared" si="17"/>
        <v>57924</v>
      </c>
      <c r="P72" s="62">
        <f t="shared" si="17"/>
        <v>416500</v>
      </c>
      <c r="Q72" s="62">
        <f t="shared" si="17"/>
        <v>416500</v>
      </c>
      <c r="R72" s="423"/>
      <c r="S72" s="58">
        <f>SUM(S70:S71)</f>
        <v>0</v>
      </c>
      <c r="T72" s="59">
        <f>SUM(T70:T71)</f>
        <v>0</v>
      </c>
      <c r="U72" s="60">
        <f>SUM(U70:U71)</f>
        <v>1</v>
      </c>
      <c r="V72" s="63"/>
    </row>
    <row r="73" spans="1:22" s="42" customFormat="1" ht="11.25" customHeight="1" x14ac:dyDescent="0.2">
      <c r="A73" s="454" t="s">
        <v>17</v>
      </c>
      <c r="B73" s="456" t="s">
        <v>17</v>
      </c>
      <c r="C73" s="530">
        <v>16</v>
      </c>
      <c r="D73" s="361" t="s">
        <v>73</v>
      </c>
      <c r="E73" s="363">
        <v>9</v>
      </c>
      <c r="F73" s="488" t="s">
        <v>182</v>
      </c>
      <c r="G73" s="169" t="s">
        <v>112</v>
      </c>
      <c r="H73" s="64">
        <f>SUM(I73:K73)</f>
        <v>72492</v>
      </c>
      <c r="I73" s="72"/>
      <c r="J73" s="72"/>
      <c r="K73" s="65">
        <f>ROUND(250300/3.4528,0)</f>
        <v>72492</v>
      </c>
      <c r="L73" s="64">
        <f>SUM(M73:O73)</f>
        <v>72492</v>
      </c>
      <c r="M73" s="44"/>
      <c r="N73" s="44"/>
      <c r="O73" s="65">
        <v>72492</v>
      </c>
      <c r="P73" s="70"/>
      <c r="Q73" s="75"/>
      <c r="R73" s="418" t="s">
        <v>150</v>
      </c>
      <c r="S73" s="345">
        <v>1</v>
      </c>
      <c r="T73" s="385"/>
      <c r="U73" s="376"/>
      <c r="V73" s="63"/>
    </row>
    <row r="74" spans="1:22" s="42" customFormat="1" ht="11.25" customHeight="1" x14ac:dyDescent="0.2">
      <c r="A74" s="454"/>
      <c r="B74" s="456"/>
      <c r="C74" s="530"/>
      <c r="D74" s="361"/>
      <c r="E74" s="363"/>
      <c r="F74" s="365"/>
      <c r="G74" s="169" t="s">
        <v>55</v>
      </c>
      <c r="H74" s="64">
        <f>SUM(I74:K74)</f>
        <v>56736</v>
      </c>
      <c r="I74" s="72"/>
      <c r="J74" s="72"/>
      <c r="K74" s="65">
        <f>ROUND(195898/3.4528,0)</f>
        <v>56736</v>
      </c>
      <c r="L74" s="64">
        <f>SUM(M74:O74)</f>
        <v>56736</v>
      </c>
      <c r="M74" s="44"/>
      <c r="N74" s="44"/>
      <c r="O74" s="65">
        <v>56736</v>
      </c>
      <c r="P74" s="70"/>
      <c r="Q74" s="75"/>
      <c r="R74" s="418"/>
      <c r="S74" s="346"/>
      <c r="T74" s="386"/>
      <c r="U74" s="377"/>
      <c r="V74" s="63"/>
    </row>
    <row r="75" spans="1:22" s="42" customFormat="1" ht="11.25" customHeight="1" x14ac:dyDescent="0.2">
      <c r="A75" s="454"/>
      <c r="B75" s="356"/>
      <c r="C75" s="530"/>
      <c r="D75" s="361"/>
      <c r="E75" s="363"/>
      <c r="F75" s="365"/>
      <c r="G75" s="165" t="s">
        <v>258</v>
      </c>
      <c r="H75" s="64">
        <f>SUM(I75:K75)</f>
        <v>13000</v>
      </c>
      <c r="I75" s="72"/>
      <c r="J75" s="72"/>
      <c r="K75" s="65">
        <v>13000</v>
      </c>
      <c r="L75" s="64">
        <f>SUM(M75:O75)</f>
        <v>13000</v>
      </c>
      <c r="M75" s="44"/>
      <c r="N75" s="44"/>
      <c r="O75" s="65">
        <v>13000</v>
      </c>
      <c r="P75" s="167"/>
      <c r="Q75" s="146"/>
      <c r="R75" s="342"/>
      <c r="S75" s="347"/>
      <c r="T75" s="387"/>
      <c r="U75" s="378"/>
      <c r="V75" s="63"/>
    </row>
    <row r="76" spans="1:22" s="42" customFormat="1" ht="15" customHeight="1" x14ac:dyDescent="0.2">
      <c r="A76" s="454"/>
      <c r="B76" s="356"/>
      <c r="C76" s="530"/>
      <c r="D76" s="361"/>
      <c r="E76" s="363"/>
      <c r="F76" s="365"/>
      <c r="G76" s="173" t="s">
        <v>12</v>
      </c>
      <c r="H76" s="58">
        <f>SUM(H73:H75)</f>
        <v>142228</v>
      </c>
      <c r="I76" s="59">
        <f>SUM(I73:I75)</f>
        <v>0</v>
      </c>
      <c r="J76" s="59">
        <f>SUM(J73:J75)</f>
        <v>0</v>
      </c>
      <c r="K76" s="60">
        <f>SUM(K73:K75)</f>
        <v>142228</v>
      </c>
      <c r="L76" s="58">
        <f>SUM(L73:L75)</f>
        <v>142228</v>
      </c>
      <c r="M76" s="59">
        <f>SUM(M73:M74)</f>
        <v>0</v>
      </c>
      <c r="N76" s="59">
        <f>SUM(N73:N74)</f>
        <v>0</v>
      </c>
      <c r="O76" s="60">
        <f>SUM(O73:O75)</f>
        <v>142228</v>
      </c>
      <c r="P76" s="83">
        <f>SUM(P73:P75)</f>
        <v>0</v>
      </c>
      <c r="Q76" s="83">
        <f>SUM(Q73:Q75)</f>
        <v>0</v>
      </c>
      <c r="R76" s="342"/>
      <c r="S76" s="84">
        <f>SUM(S73)</f>
        <v>1</v>
      </c>
      <c r="T76" s="85">
        <f>SUM(T73)</f>
        <v>0</v>
      </c>
      <c r="U76" s="86">
        <f>SUM(U73)</f>
        <v>0</v>
      </c>
      <c r="V76" s="63"/>
    </row>
    <row r="77" spans="1:22" s="42" customFormat="1" ht="11.25" customHeight="1" x14ac:dyDescent="0.2">
      <c r="A77" s="149" t="s">
        <v>17</v>
      </c>
      <c r="B77" s="150" t="s">
        <v>17</v>
      </c>
      <c r="C77" s="151">
        <v>17</v>
      </c>
      <c r="D77" s="411" t="s">
        <v>239</v>
      </c>
      <c r="E77" s="362">
        <v>9</v>
      </c>
      <c r="F77" s="364" t="s">
        <v>182</v>
      </c>
      <c r="G77" s="174" t="s">
        <v>112</v>
      </c>
      <c r="H77" s="64">
        <f>SUM(I77:K77)</f>
        <v>173377</v>
      </c>
      <c r="I77" s="204"/>
      <c r="J77" s="204"/>
      <c r="K77" s="205">
        <f>17377+6000+150000</f>
        <v>173377</v>
      </c>
      <c r="L77" s="64">
        <f>SUM(M77:O77)</f>
        <v>17377</v>
      </c>
      <c r="M77" s="204"/>
      <c r="N77" s="204"/>
      <c r="O77" s="205">
        <v>17377</v>
      </c>
      <c r="P77" s="177">
        <v>173772</v>
      </c>
      <c r="Q77" s="177">
        <v>173772</v>
      </c>
      <c r="R77" s="342" t="s">
        <v>151</v>
      </c>
      <c r="S77" s="388"/>
      <c r="T77" s="391">
        <v>3</v>
      </c>
      <c r="U77" s="366">
        <v>3</v>
      </c>
      <c r="V77" s="63"/>
    </row>
    <row r="78" spans="1:22" s="42" customFormat="1" x14ac:dyDescent="0.2">
      <c r="A78" s="152"/>
      <c r="B78" s="153"/>
      <c r="C78" s="154"/>
      <c r="D78" s="580"/>
      <c r="E78" s="363"/>
      <c r="F78" s="488"/>
      <c r="G78" s="174" t="s">
        <v>55</v>
      </c>
      <c r="H78" s="64">
        <f>SUM(I78:K78)</f>
        <v>268270</v>
      </c>
      <c r="I78" s="204"/>
      <c r="J78" s="204"/>
      <c r="K78" s="205">
        <f>220000+48270</f>
        <v>268270</v>
      </c>
      <c r="L78" s="64">
        <f>SUM(M78:O78)</f>
        <v>0</v>
      </c>
      <c r="M78" s="204"/>
      <c r="N78" s="204"/>
      <c r="O78" s="205">
        <v>0</v>
      </c>
      <c r="P78" s="177">
        <v>984708</v>
      </c>
      <c r="Q78" s="177">
        <v>984708</v>
      </c>
      <c r="R78" s="343"/>
      <c r="S78" s="389"/>
      <c r="T78" s="381"/>
      <c r="U78" s="367"/>
      <c r="V78" s="63"/>
    </row>
    <row r="79" spans="1:22" s="42" customFormat="1" x14ac:dyDescent="0.2">
      <c r="A79" s="152"/>
      <c r="B79" s="153"/>
      <c r="C79" s="154"/>
      <c r="D79" s="580"/>
      <c r="E79" s="363"/>
      <c r="F79" s="488"/>
      <c r="G79" s="174" t="s">
        <v>84</v>
      </c>
      <c r="H79" s="64">
        <f>SUM(I79:K79)</f>
        <v>1286258</v>
      </c>
      <c r="I79" s="204"/>
      <c r="J79" s="204"/>
      <c r="K79" s="205">
        <f>86886+86886+28962+57924+725600+300000</f>
        <v>1286258</v>
      </c>
      <c r="L79" s="64">
        <f>SUM(M79:O79)</f>
        <v>0</v>
      </c>
      <c r="M79" s="204"/>
      <c r="N79" s="204"/>
      <c r="O79" s="205">
        <v>0</v>
      </c>
      <c r="P79" s="177"/>
      <c r="Q79" s="177"/>
      <c r="R79" s="343"/>
      <c r="S79" s="390"/>
      <c r="T79" s="382"/>
      <c r="U79" s="368"/>
      <c r="V79" s="63"/>
    </row>
    <row r="80" spans="1:22" s="42" customFormat="1" ht="21" customHeight="1" x14ac:dyDescent="0.2">
      <c r="A80" s="155"/>
      <c r="B80" s="156"/>
      <c r="C80" s="157"/>
      <c r="D80" s="412"/>
      <c r="E80" s="413"/>
      <c r="F80" s="492"/>
      <c r="G80" s="170" t="s">
        <v>12</v>
      </c>
      <c r="H80" s="58">
        <f t="shared" ref="H80:Q80" si="18">SUM(H77:H79)</f>
        <v>1727905</v>
      </c>
      <c r="I80" s="59">
        <f t="shared" si="18"/>
        <v>0</v>
      </c>
      <c r="J80" s="59">
        <f t="shared" si="18"/>
        <v>0</v>
      </c>
      <c r="K80" s="60">
        <f t="shared" si="18"/>
        <v>1727905</v>
      </c>
      <c r="L80" s="58">
        <f t="shared" si="18"/>
        <v>17377</v>
      </c>
      <c r="M80" s="59">
        <f t="shared" si="18"/>
        <v>0</v>
      </c>
      <c r="N80" s="59">
        <f t="shared" si="18"/>
        <v>0</v>
      </c>
      <c r="O80" s="60">
        <f t="shared" si="18"/>
        <v>17377</v>
      </c>
      <c r="P80" s="62">
        <f t="shared" si="18"/>
        <v>1158480</v>
      </c>
      <c r="Q80" s="62">
        <f t="shared" si="18"/>
        <v>1158480</v>
      </c>
      <c r="R80" s="344"/>
      <c r="S80" s="58">
        <f>SUM(S77)</f>
        <v>0</v>
      </c>
      <c r="T80" s="59">
        <f>SUM(T77)</f>
        <v>3</v>
      </c>
      <c r="U80" s="60">
        <f>SUM(U77)</f>
        <v>3</v>
      </c>
      <c r="V80" s="63"/>
    </row>
    <row r="81" spans="1:22" s="63" customFormat="1" ht="21" hidden="1" customHeight="1" outlineLevel="1" x14ac:dyDescent="0.2">
      <c r="A81" s="178">
        <v>1</v>
      </c>
      <c r="B81" s="178">
        <v>1</v>
      </c>
      <c r="C81" s="200" t="s">
        <v>294</v>
      </c>
      <c r="D81" s="142" t="s">
        <v>240</v>
      </c>
      <c r="E81" s="180"/>
      <c r="F81" s="254"/>
      <c r="G81" s="400" t="s">
        <v>325</v>
      </c>
      <c r="H81" s="401"/>
      <c r="I81" s="401"/>
      <c r="J81" s="401"/>
      <c r="K81" s="402"/>
      <c r="L81" s="181"/>
      <c r="M81" s="182"/>
      <c r="N81" s="182"/>
      <c r="O81" s="183"/>
      <c r="P81" s="259"/>
      <c r="Q81" s="259"/>
      <c r="R81" s="190"/>
      <c r="S81" s="181"/>
      <c r="T81" s="182"/>
      <c r="U81" s="183"/>
    </row>
    <row r="82" spans="1:22" s="63" customFormat="1" ht="21" hidden="1" customHeight="1" outlineLevel="1" x14ac:dyDescent="0.2">
      <c r="A82" s="178">
        <v>1</v>
      </c>
      <c r="B82" s="178">
        <v>1</v>
      </c>
      <c r="C82" s="200" t="s">
        <v>295</v>
      </c>
      <c r="D82" s="142" t="s">
        <v>241</v>
      </c>
      <c r="E82" s="180"/>
      <c r="F82" s="254"/>
      <c r="G82" s="400" t="s">
        <v>325</v>
      </c>
      <c r="H82" s="401"/>
      <c r="I82" s="401"/>
      <c r="J82" s="401"/>
      <c r="K82" s="402"/>
      <c r="L82" s="181"/>
      <c r="M82" s="182"/>
      <c r="N82" s="182"/>
      <c r="O82" s="183"/>
      <c r="P82" s="259"/>
      <c r="Q82" s="259"/>
      <c r="R82" s="190"/>
      <c r="S82" s="181"/>
      <c r="T82" s="182"/>
      <c r="U82" s="183"/>
    </row>
    <row r="83" spans="1:22" s="63" customFormat="1" ht="21" hidden="1" customHeight="1" outlineLevel="1" x14ac:dyDescent="0.2">
      <c r="A83" s="178">
        <v>1</v>
      </c>
      <c r="B83" s="178">
        <v>1</v>
      </c>
      <c r="C83" s="200" t="s">
        <v>296</v>
      </c>
      <c r="D83" s="142" t="s">
        <v>242</v>
      </c>
      <c r="E83" s="180"/>
      <c r="F83" s="254"/>
      <c r="G83" s="400" t="s">
        <v>325</v>
      </c>
      <c r="H83" s="401"/>
      <c r="I83" s="401"/>
      <c r="J83" s="401"/>
      <c r="K83" s="402"/>
      <c r="L83" s="181"/>
      <c r="M83" s="182"/>
      <c r="N83" s="182"/>
      <c r="O83" s="183"/>
      <c r="P83" s="259"/>
      <c r="Q83" s="259"/>
      <c r="R83" s="190"/>
      <c r="S83" s="181"/>
      <c r="T83" s="182"/>
      <c r="U83" s="183"/>
    </row>
    <row r="84" spans="1:22" s="63" customFormat="1" ht="21" hidden="1" customHeight="1" outlineLevel="1" x14ac:dyDescent="0.2">
      <c r="A84" s="178">
        <v>1</v>
      </c>
      <c r="B84" s="178">
        <v>1</v>
      </c>
      <c r="C84" s="200" t="s">
        <v>297</v>
      </c>
      <c r="D84" s="142" t="s">
        <v>243</v>
      </c>
      <c r="E84" s="180"/>
      <c r="F84" s="254"/>
      <c r="G84" s="400" t="s">
        <v>325</v>
      </c>
      <c r="H84" s="401"/>
      <c r="I84" s="401"/>
      <c r="J84" s="401"/>
      <c r="K84" s="402"/>
      <c r="L84" s="181"/>
      <c r="M84" s="182"/>
      <c r="N84" s="182"/>
      <c r="O84" s="183"/>
      <c r="P84" s="259"/>
      <c r="Q84" s="259"/>
      <c r="R84" s="190"/>
      <c r="S84" s="181"/>
      <c r="T84" s="182"/>
      <c r="U84" s="183"/>
    </row>
    <row r="85" spans="1:22" s="63" customFormat="1" ht="21" hidden="1" customHeight="1" outlineLevel="1" x14ac:dyDescent="0.2">
      <c r="A85" s="178">
        <v>1</v>
      </c>
      <c r="B85" s="178">
        <v>1</v>
      </c>
      <c r="C85" s="200" t="s">
        <v>298</v>
      </c>
      <c r="D85" s="142" t="s">
        <v>347</v>
      </c>
      <c r="E85" s="180"/>
      <c r="F85" s="254"/>
      <c r="G85" s="256" t="s">
        <v>348</v>
      </c>
      <c r="H85" s="182"/>
      <c r="I85" s="182"/>
      <c r="J85" s="182"/>
      <c r="K85" s="191">
        <v>725600</v>
      </c>
      <c r="L85" s="181"/>
      <c r="M85" s="182"/>
      <c r="N85" s="182"/>
      <c r="O85" s="183"/>
      <c r="P85" s="259"/>
      <c r="Q85" s="259"/>
      <c r="R85" s="190"/>
      <c r="S85" s="181"/>
      <c r="T85" s="182"/>
      <c r="U85" s="183"/>
    </row>
    <row r="86" spans="1:22" s="63" customFormat="1" ht="27" hidden="1" customHeight="1" outlineLevel="1" x14ac:dyDescent="0.2">
      <c r="A86" s="178">
        <v>1</v>
      </c>
      <c r="B86" s="178">
        <v>1</v>
      </c>
      <c r="C86" s="200" t="s">
        <v>299</v>
      </c>
      <c r="D86" s="142" t="s">
        <v>326</v>
      </c>
      <c r="E86" s="180"/>
      <c r="F86" s="254"/>
      <c r="G86" s="255" t="s">
        <v>112</v>
      </c>
      <c r="H86" s="182"/>
      <c r="I86" s="182"/>
      <c r="J86" s="182"/>
      <c r="K86" s="191">
        <v>150000</v>
      </c>
      <c r="L86" s="181"/>
      <c r="M86" s="182"/>
      <c r="N86" s="182"/>
      <c r="O86" s="183"/>
      <c r="P86" s="259"/>
      <c r="Q86" s="259"/>
      <c r="R86" s="190"/>
      <c r="S86" s="181"/>
      <c r="T86" s="182"/>
      <c r="U86" s="183"/>
    </row>
    <row r="87" spans="1:22" s="63" customFormat="1" ht="21" hidden="1" customHeight="1" outlineLevel="1" x14ac:dyDescent="0.2">
      <c r="A87" s="178">
        <v>1</v>
      </c>
      <c r="B87" s="178">
        <v>1</v>
      </c>
      <c r="C87" s="200" t="s">
        <v>300</v>
      </c>
      <c r="D87" s="142" t="s">
        <v>287</v>
      </c>
      <c r="E87" s="180"/>
      <c r="F87" s="254"/>
      <c r="G87" s="256" t="s">
        <v>348</v>
      </c>
      <c r="H87" s="182"/>
      <c r="I87" s="182"/>
      <c r="J87" s="182"/>
      <c r="K87" s="191">
        <v>150000</v>
      </c>
      <c r="L87" s="181"/>
      <c r="M87" s="182"/>
      <c r="N87" s="182"/>
      <c r="O87" s="183"/>
      <c r="P87" s="259"/>
      <c r="Q87" s="259"/>
      <c r="R87" s="190"/>
      <c r="S87" s="181"/>
      <c r="T87" s="182"/>
      <c r="U87" s="183"/>
    </row>
    <row r="88" spans="1:22" s="63" customFormat="1" ht="21" hidden="1" customHeight="1" outlineLevel="1" x14ac:dyDescent="0.2">
      <c r="A88" s="178">
        <v>1</v>
      </c>
      <c r="B88" s="178">
        <v>1</v>
      </c>
      <c r="C88" s="200" t="s">
        <v>301</v>
      </c>
      <c r="D88" s="142" t="s">
        <v>288</v>
      </c>
      <c r="E88" s="180"/>
      <c r="F88" s="254"/>
      <c r="G88" s="256" t="s">
        <v>348</v>
      </c>
      <c r="H88" s="182"/>
      <c r="I88" s="182"/>
      <c r="J88" s="182"/>
      <c r="K88" s="191">
        <v>150000</v>
      </c>
      <c r="L88" s="181"/>
      <c r="M88" s="182"/>
      <c r="N88" s="182"/>
      <c r="O88" s="183"/>
      <c r="P88" s="259"/>
      <c r="Q88" s="259"/>
      <c r="R88" s="190"/>
      <c r="S88" s="181"/>
      <c r="T88" s="182"/>
      <c r="U88" s="183"/>
    </row>
    <row r="89" spans="1:22" s="63" customFormat="1" ht="21" hidden="1" customHeight="1" outlineLevel="1" x14ac:dyDescent="0.2">
      <c r="A89" s="178">
        <v>1</v>
      </c>
      <c r="B89" s="178">
        <v>1</v>
      </c>
      <c r="C89" s="200" t="s">
        <v>302</v>
      </c>
      <c r="D89" s="142" t="s">
        <v>289</v>
      </c>
      <c r="E89" s="180"/>
      <c r="F89" s="254"/>
      <c r="G89" s="256" t="s">
        <v>55</v>
      </c>
      <c r="H89" s="182"/>
      <c r="I89" s="182"/>
      <c r="J89" s="182"/>
      <c r="K89" s="191">
        <v>220000</v>
      </c>
      <c r="L89" s="181"/>
      <c r="M89" s="182"/>
      <c r="N89" s="182"/>
      <c r="O89" s="183"/>
      <c r="P89" s="259"/>
      <c r="Q89" s="259"/>
      <c r="R89" s="190"/>
      <c r="S89" s="181"/>
      <c r="T89" s="182"/>
      <c r="U89" s="183"/>
    </row>
    <row r="90" spans="1:22" s="63" customFormat="1" ht="26.25" hidden="1" customHeight="1" outlineLevel="1" x14ac:dyDescent="0.2">
      <c r="A90" s="178">
        <v>1</v>
      </c>
      <c r="B90" s="178">
        <v>1</v>
      </c>
      <c r="C90" s="200" t="s">
        <v>303</v>
      </c>
      <c r="D90" s="142" t="s">
        <v>305</v>
      </c>
      <c r="E90" s="180"/>
      <c r="F90" s="254"/>
      <c r="G90" s="256" t="s">
        <v>84</v>
      </c>
      <c r="H90" s="182"/>
      <c r="I90" s="182"/>
      <c r="J90" s="182"/>
      <c r="K90" s="191">
        <v>86886</v>
      </c>
      <c r="L90" s="181"/>
      <c r="M90" s="182"/>
      <c r="N90" s="182"/>
      <c r="O90" s="183"/>
      <c r="P90" s="259"/>
      <c r="Q90" s="259"/>
      <c r="R90" s="190"/>
      <c r="S90" s="181"/>
      <c r="T90" s="182"/>
      <c r="U90" s="183"/>
    </row>
    <row r="91" spans="1:22" s="63" customFormat="1" ht="43.5" hidden="1" customHeight="1" outlineLevel="1" x14ac:dyDescent="0.2">
      <c r="A91" s="178">
        <v>1</v>
      </c>
      <c r="B91" s="178">
        <v>1</v>
      </c>
      <c r="C91" s="200" t="s">
        <v>304</v>
      </c>
      <c r="D91" s="142" t="s">
        <v>306</v>
      </c>
      <c r="E91" s="180"/>
      <c r="F91" s="254"/>
      <c r="G91" s="256" t="s">
        <v>55</v>
      </c>
      <c r="H91" s="182"/>
      <c r="I91" s="182"/>
      <c r="J91" s="182"/>
      <c r="K91" s="191">
        <v>48270</v>
      </c>
      <c r="L91" s="181"/>
      <c r="M91" s="182"/>
      <c r="N91" s="182"/>
      <c r="O91" s="183"/>
      <c r="P91" s="259"/>
      <c r="Q91" s="259"/>
      <c r="R91" s="190"/>
      <c r="S91" s="181"/>
      <c r="T91" s="182"/>
      <c r="U91" s="183"/>
    </row>
    <row r="92" spans="1:22" s="63" customFormat="1" ht="43.5" hidden="1" customHeight="1" outlineLevel="1" x14ac:dyDescent="0.2">
      <c r="A92" s="178">
        <v>1</v>
      </c>
      <c r="B92" s="178">
        <v>1</v>
      </c>
      <c r="C92" s="200" t="s">
        <v>307</v>
      </c>
      <c r="D92" s="142" t="s">
        <v>308</v>
      </c>
      <c r="E92" s="180"/>
      <c r="F92" s="254"/>
      <c r="G92" s="256" t="s">
        <v>84</v>
      </c>
      <c r="H92" s="182"/>
      <c r="I92" s="182"/>
      <c r="J92" s="182"/>
      <c r="K92" s="191">
        <v>86886</v>
      </c>
      <c r="L92" s="181"/>
      <c r="M92" s="182"/>
      <c r="N92" s="182"/>
      <c r="O92" s="183"/>
      <c r="P92" s="259"/>
      <c r="Q92" s="259"/>
      <c r="R92" s="190"/>
      <c r="S92" s="181"/>
      <c r="T92" s="182"/>
      <c r="U92" s="183"/>
    </row>
    <row r="93" spans="1:22" s="63" customFormat="1" ht="43.5" hidden="1" customHeight="1" outlineLevel="1" x14ac:dyDescent="0.2">
      <c r="A93" s="178">
        <v>1</v>
      </c>
      <c r="B93" s="178">
        <v>1</v>
      </c>
      <c r="C93" s="200" t="s">
        <v>309</v>
      </c>
      <c r="D93" s="142" t="s">
        <v>310</v>
      </c>
      <c r="E93" s="180"/>
      <c r="F93" s="254"/>
      <c r="G93" s="256" t="s">
        <v>84</v>
      </c>
      <c r="H93" s="182"/>
      <c r="I93" s="182"/>
      <c r="J93" s="182"/>
      <c r="K93" s="191">
        <v>28962</v>
      </c>
      <c r="L93" s="181"/>
      <c r="M93" s="182"/>
      <c r="N93" s="182"/>
      <c r="O93" s="183"/>
      <c r="P93" s="259"/>
      <c r="Q93" s="259"/>
      <c r="R93" s="190"/>
      <c r="S93" s="181"/>
      <c r="T93" s="182"/>
      <c r="U93" s="183"/>
    </row>
    <row r="94" spans="1:22" s="63" customFormat="1" ht="43.5" hidden="1" customHeight="1" outlineLevel="1" x14ac:dyDescent="0.2">
      <c r="A94" s="178">
        <v>1</v>
      </c>
      <c r="B94" s="178">
        <v>1</v>
      </c>
      <c r="C94" s="200" t="s">
        <v>323</v>
      </c>
      <c r="D94" s="142" t="s">
        <v>324</v>
      </c>
      <c r="E94" s="180"/>
      <c r="F94" s="254"/>
      <c r="G94" s="256" t="s">
        <v>84</v>
      </c>
      <c r="H94" s="182"/>
      <c r="I94" s="182"/>
      <c r="J94" s="182"/>
      <c r="K94" s="191">
        <v>57924</v>
      </c>
      <c r="L94" s="181"/>
      <c r="M94" s="182"/>
      <c r="N94" s="182"/>
      <c r="O94" s="183"/>
      <c r="P94" s="259"/>
      <c r="Q94" s="259"/>
      <c r="R94" s="190"/>
      <c r="S94" s="181"/>
      <c r="T94" s="182"/>
      <c r="U94" s="183"/>
    </row>
    <row r="95" spans="1:22" s="42" customFormat="1" collapsed="1" x14ac:dyDescent="0.2">
      <c r="A95" s="355">
        <v>1</v>
      </c>
      <c r="B95" s="357" t="s">
        <v>17</v>
      </c>
      <c r="C95" s="530">
        <v>18</v>
      </c>
      <c r="D95" s="361" t="s">
        <v>254</v>
      </c>
      <c r="E95" s="363">
        <v>10</v>
      </c>
      <c r="F95" s="488" t="s">
        <v>182</v>
      </c>
      <c r="G95" s="166" t="s">
        <v>112</v>
      </c>
      <c r="H95" s="138">
        <f>SUM(I95:K95)</f>
        <v>0</v>
      </c>
      <c r="I95" s="139"/>
      <c r="J95" s="139"/>
      <c r="K95" s="77"/>
      <c r="L95" s="138">
        <f>SUM(M95:O95)</f>
        <v>0</v>
      </c>
      <c r="M95" s="137"/>
      <c r="N95" s="137"/>
      <c r="O95" s="77"/>
      <c r="P95" s="114">
        <v>20156</v>
      </c>
      <c r="Q95" s="114">
        <v>0</v>
      </c>
      <c r="R95" s="343" t="s">
        <v>151</v>
      </c>
      <c r="S95" s="379"/>
      <c r="T95" s="381">
        <v>1</v>
      </c>
      <c r="U95" s="383"/>
      <c r="V95" s="63"/>
    </row>
    <row r="96" spans="1:22" s="42" customFormat="1" x14ac:dyDescent="0.2">
      <c r="A96" s="355"/>
      <c r="B96" s="357"/>
      <c r="C96" s="530"/>
      <c r="D96" s="361"/>
      <c r="E96" s="363"/>
      <c r="F96" s="488"/>
      <c r="G96" s="169" t="s">
        <v>55</v>
      </c>
      <c r="H96" s="64">
        <f>SUM(I96:K96)</f>
        <v>0</v>
      </c>
      <c r="I96" s="72"/>
      <c r="J96" s="72"/>
      <c r="K96" s="65"/>
      <c r="L96" s="64">
        <f>SUM(M96:O96)</f>
        <v>0</v>
      </c>
      <c r="M96" s="44"/>
      <c r="N96" s="44"/>
      <c r="O96" s="65"/>
      <c r="P96" s="70">
        <f>ROUND(394378/3.4528,0)</f>
        <v>114220</v>
      </c>
      <c r="Q96" s="70">
        <v>0</v>
      </c>
      <c r="R96" s="343"/>
      <c r="S96" s="380"/>
      <c r="T96" s="382"/>
      <c r="U96" s="384"/>
      <c r="V96" s="63"/>
    </row>
    <row r="97" spans="1:256" s="42" customFormat="1" ht="39.75" customHeight="1" thickBot="1" x14ac:dyDescent="0.25">
      <c r="A97" s="490"/>
      <c r="B97" s="491"/>
      <c r="C97" s="531"/>
      <c r="D97" s="459"/>
      <c r="E97" s="460"/>
      <c r="F97" s="581"/>
      <c r="G97" s="172" t="s">
        <v>12</v>
      </c>
      <c r="H97" s="89">
        <f t="shared" ref="H97:Q97" si="19">SUM(H95:H96)</f>
        <v>0</v>
      </c>
      <c r="I97" s="90">
        <f t="shared" si="19"/>
        <v>0</v>
      </c>
      <c r="J97" s="90">
        <f t="shared" si="19"/>
        <v>0</v>
      </c>
      <c r="K97" s="91">
        <f t="shared" si="19"/>
        <v>0</v>
      </c>
      <c r="L97" s="89">
        <f t="shared" si="19"/>
        <v>0</v>
      </c>
      <c r="M97" s="90">
        <f t="shared" si="19"/>
        <v>0</v>
      </c>
      <c r="N97" s="90">
        <f t="shared" si="19"/>
        <v>0</v>
      </c>
      <c r="O97" s="91">
        <f t="shared" si="19"/>
        <v>0</v>
      </c>
      <c r="P97" s="92">
        <f t="shared" si="19"/>
        <v>134376</v>
      </c>
      <c r="Q97" s="92">
        <f t="shared" si="19"/>
        <v>0</v>
      </c>
      <c r="R97" s="424"/>
      <c r="S97" s="89">
        <f>SUM(S95)</f>
        <v>0</v>
      </c>
      <c r="T97" s="90">
        <f>SUM(T95)</f>
        <v>1</v>
      </c>
      <c r="U97" s="91">
        <f>SUM(U95)</f>
        <v>0</v>
      </c>
      <c r="V97" s="63"/>
    </row>
    <row r="98" spans="1:256" s="42" customFormat="1" ht="14.25" customHeight="1" thickBot="1" x14ac:dyDescent="0.25">
      <c r="A98" s="93" t="s">
        <v>17</v>
      </c>
      <c r="B98" s="263" t="s">
        <v>18</v>
      </c>
      <c r="C98" s="526" t="s">
        <v>13</v>
      </c>
      <c r="D98" s="436"/>
      <c r="E98" s="436"/>
      <c r="F98" s="436"/>
      <c r="G98" s="437"/>
      <c r="H98" s="94">
        <f t="shared" ref="H98:Q98" si="20">H16+H19+H27+H30+H36+H40+H42+H44+H47+H52+H56+H61+H63+H66+H72+H76+H80+H97</f>
        <v>5143396</v>
      </c>
      <c r="I98" s="94">
        <f t="shared" si="20"/>
        <v>28962</v>
      </c>
      <c r="J98" s="94">
        <f t="shared" si="20"/>
        <v>0</v>
      </c>
      <c r="K98" s="94">
        <f t="shared" si="20"/>
        <v>5114434</v>
      </c>
      <c r="L98" s="94">
        <f t="shared" si="20"/>
        <v>2880950</v>
      </c>
      <c r="M98" s="94">
        <f t="shared" si="20"/>
        <v>0</v>
      </c>
      <c r="N98" s="94">
        <f t="shared" si="20"/>
        <v>0</v>
      </c>
      <c r="O98" s="94">
        <f t="shared" si="20"/>
        <v>2880950</v>
      </c>
      <c r="P98" s="94">
        <f t="shared" si="20"/>
        <v>6384866</v>
      </c>
      <c r="Q98" s="94">
        <f t="shared" si="20"/>
        <v>8123286</v>
      </c>
      <c r="R98" s="96" t="s">
        <v>23</v>
      </c>
      <c r="S98" s="50" t="s">
        <v>23</v>
      </c>
      <c r="T98" s="50" t="s">
        <v>23</v>
      </c>
      <c r="U98" s="95" t="s">
        <v>23</v>
      </c>
    </row>
    <row r="99" spans="1:256" ht="15" customHeight="1" thickBot="1" x14ac:dyDescent="0.25">
      <c r="A99" s="93" t="s">
        <v>17</v>
      </c>
      <c r="B99" s="264" t="s">
        <v>18</v>
      </c>
      <c r="C99" s="527" t="s">
        <v>119</v>
      </c>
      <c r="D99" s="528"/>
      <c r="E99" s="528"/>
      <c r="F99" s="528"/>
      <c r="G99" s="528"/>
      <c r="H99" s="528"/>
      <c r="I99" s="528"/>
      <c r="J99" s="528"/>
      <c r="K99" s="528"/>
      <c r="L99" s="528"/>
      <c r="M99" s="528"/>
      <c r="N99" s="528"/>
      <c r="O99" s="528"/>
      <c r="P99" s="528"/>
      <c r="Q99" s="528"/>
      <c r="R99" s="528"/>
      <c r="S99" s="528"/>
      <c r="T99" s="528"/>
      <c r="U99" s="529"/>
    </row>
    <row r="100" spans="1:256" ht="12" thickBot="1" x14ac:dyDescent="0.25">
      <c r="A100" s="454" t="s">
        <v>17</v>
      </c>
      <c r="B100" s="456" t="s">
        <v>18</v>
      </c>
      <c r="C100" s="350">
        <v>1</v>
      </c>
      <c r="D100" s="473" t="s">
        <v>74</v>
      </c>
      <c r="E100" s="413">
        <v>6</v>
      </c>
      <c r="F100" s="492" t="s">
        <v>184</v>
      </c>
      <c r="G100" s="168" t="s">
        <v>112</v>
      </c>
      <c r="H100" s="51">
        <f>SUM(I100:K100)</f>
        <v>38230</v>
      </c>
      <c r="I100" s="52"/>
      <c r="J100" s="52"/>
      <c r="K100" s="40">
        <f>ROUND(132000/3.4528,0)</f>
        <v>38230</v>
      </c>
      <c r="L100" s="51">
        <f>SUM(M100:O100)</f>
        <v>38230</v>
      </c>
      <c r="M100" s="52"/>
      <c r="N100" s="52"/>
      <c r="O100" s="40">
        <v>38230</v>
      </c>
      <c r="P100" s="53"/>
      <c r="Q100" s="53"/>
      <c r="R100" s="516" t="s">
        <v>152</v>
      </c>
      <c r="S100" s="371">
        <v>6</v>
      </c>
      <c r="T100" s="374"/>
      <c r="U100" s="377"/>
      <c r="V100" s="57"/>
      <c r="X100" s="57"/>
      <c r="Y100" s="57"/>
      <c r="Z100" s="57"/>
    </row>
    <row r="101" spans="1:256" ht="12" thickBot="1" x14ac:dyDescent="0.25">
      <c r="A101" s="454"/>
      <c r="B101" s="456"/>
      <c r="C101" s="462"/>
      <c r="D101" s="463"/>
      <c r="E101" s="464"/>
      <c r="F101" s="399"/>
      <c r="G101" s="169" t="s">
        <v>55</v>
      </c>
      <c r="H101" s="64">
        <f>SUM(I101:K101)</f>
        <v>1468974</v>
      </c>
      <c r="I101" s="44"/>
      <c r="J101" s="44"/>
      <c r="K101" s="65">
        <v>1468974</v>
      </c>
      <c r="L101" s="64">
        <f>SUM(M101:O101)</f>
        <v>1468974</v>
      </c>
      <c r="M101" s="44"/>
      <c r="N101" s="44"/>
      <c r="O101" s="65">
        <v>1468974</v>
      </c>
      <c r="P101" s="70"/>
      <c r="Q101" s="70"/>
      <c r="R101" s="516"/>
      <c r="S101" s="371"/>
      <c r="T101" s="374"/>
      <c r="U101" s="377"/>
      <c r="V101" s="57"/>
      <c r="X101" s="57"/>
      <c r="Y101" s="57"/>
      <c r="Z101" s="57"/>
    </row>
    <row r="102" spans="1:256" ht="12" thickBot="1" x14ac:dyDescent="0.25">
      <c r="A102" s="454"/>
      <c r="B102" s="456"/>
      <c r="C102" s="462"/>
      <c r="D102" s="463"/>
      <c r="E102" s="464"/>
      <c r="F102" s="399"/>
      <c r="G102" s="169" t="s">
        <v>258</v>
      </c>
      <c r="H102" s="64">
        <f>SUM(I102:K102)</f>
        <v>434430</v>
      </c>
      <c r="I102" s="44">
        <v>304430</v>
      </c>
      <c r="J102" s="44"/>
      <c r="K102" s="65">
        <v>130000</v>
      </c>
      <c r="L102" s="64">
        <f>SUM(M102:O102)</f>
        <v>98000</v>
      </c>
      <c r="M102" s="44">
        <v>89004</v>
      </c>
      <c r="N102" s="44"/>
      <c r="O102" s="65">
        <v>8996</v>
      </c>
      <c r="P102" s="167"/>
      <c r="Q102" s="167"/>
      <c r="R102" s="517"/>
      <c r="S102" s="372"/>
      <c r="T102" s="375"/>
      <c r="U102" s="378"/>
      <c r="V102" s="57"/>
      <c r="X102" s="57"/>
      <c r="Y102" s="57"/>
      <c r="Z102" s="57"/>
    </row>
    <row r="103" spans="1:256" s="42" customFormat="1" ht="11.25" customHeight="1" x14ac:dyDescent="0.2">
      <c r="A103" s="454"/>
      <c r="B103" s="456"/>
      <c r="C103" s="462"/>
      <c r="D103" s="463"/>
      <c r="E103" s="464"/>
      <c r="F103" s="399"/>
      <c r="G103" s="170" t="s">
        <v>12</v>
      </c>
      <c r="H103" s="58">
        <f t="shared" ref="H103:Q103" si="21">SUM(H100:H102)</f>
        <v>1941634</v>
      </c>
      <c r="I103" s="59">
        <f t="shared" si="21"/>
        <v>304430</v>
      </c>
      <c r="J103" s="59">
        <f t="shared" si="21"/>
        <v>0</v>
      </c>
      <c r="K103" s="60">
        <f t="shared" si="21"/>
        <v>1637204</v>
      </c>
      <c r="L103" s="58">
        <f t="shared" si="21"/>
        <v>1605204</v>
      </c>
      <c r="M103" s="59">
        <f t="shared" si="21"/>
        <v>89004</v>
      </c>
      <c r="N103" s="59">
        <f t="shared" si="21"/>
        <v>0</v>
      </c>
      <c r="O103" s="60">
        <f t="shared" si="21"/>
        <v>1516200</v>
      </c>
      <c r="P103" s="83">
        <f t="shared" si="21"/>
        <v>0</v>
      </c>
      <c r="Q103" s="83">
        <f t="shared" si="21"/>
        <v>0</v>
      </c>
      <c r="R103" s="489"/>
      <c r="S103" s="61">
        <f>SUM(S100)</f>
        <v>6</v>
      </c>
      <c r="T103" s="59">
        <f>SUM(T100)</f>
        <v>0</v>
      </c>
      <c r="U103" s="60">
        <f>SUM(U100)</f>
        <v>0</v>
      </c>
      <c r="V103" s="63"/>
      <c r="X103" s="63"/>
      <c r="Y103" s="101"/>
      <c r="Z103" s="63"/>
    </row>
    <row r="104" spans="1:256" s="42" customFormat="1" ht="11.25" customHeight="1" thickBot="1" x14ac:dyDescent="0.25">
      <c r="A104" s="454" t="s">
        <v>17</v>
      </c>
      <c r="B104" s="456" t="s">
        <v>18</v>
      </c>
      <c r="C104" s="462">
        <v>2</v>
      </c>
      <c r="D104" s="463" t="s">
        <v>185</v>
      </c>
      <c r="E104" s="464">
        <v>10</v>
      </c>
      <c r="F104" s="398" t="s">
        <v>182</v>
      </c>
      <c r="G104" s="169" t="s">
        <v>112</v>
      </c>
      <c r="H104" s="64">
        <f>SUM(I104:K104)</f>
        <v>2107</v>
      </c>
      <c r="I104" s="44"/>
      <c r="J104" s="44"/>
      <c r="K104" s="65">
        <f>ROUND(7274.25/3.4528,0)</f>
        <v>2107</v>
      </c>
      <c r="L104" s="64">
        <f>SUM(M104:O104)</f>
        <v>2107</v>
      </c>
      <c r="M104" s="44"/>
      <c r="N104" s="44"/>
      <c r="O104" s="65">
        <f>ROUND(7274.25/3.4528,0)</f>
        <v>2107</v>
      </c>
      <c r="P104" s="70">
        <v>0</v>
      </c>
      <c r="Q104" s="70">
        <v>0</v>
      </c>
      <c r="R104" s="453" t="s">
        <v>186</v>
      </c>
      <c r="S104" s="370">
        <v>14</v>
      </c>
      <c r="T104" s="373"/>
      <c r="U104" s="376"/>
      <c r="V104" s="63"/>
      <c r="X104" s="63"/>
      <c r="Y104" s="101"/>
      <c r="Z104" s="63"/>
    </row>
    <row r="105" spans="1:256" s="42" customFormat="1" ht="11.25" customHeight="1" thickBot="1" x14ac:dyDescent="0.25">
      <c r="A105" s="454"/>
      <c r="B105" s="456"/>
      <c r="C105" s="462"/>
      <c r="D105" s="463"/>
      <c r="E105" s="464"/>
      <c r="F105" s="399"/>
      <c r="G105" s="169" t="s">
        <v>55</v>
      </c>
      <c r="H105" s="64">
        <f>SUM(I105:K105)</f>
        <v>11938</v>
      </c>
      <c r="I105" s="44"/>
      <c r="J105" s="44"/>
      <c r="K105" s="65">
        <f>ROUND(41220.83/3.4528,0)</f>
        <v>11938</v>
      </c>
      <c r="L105" s="64">
        <f>SUM(M105:O105)</f>
        <v>11938</v>
      </c>
      <c r="M105" s="44"/>
      <c r="N105" s="44"/>
      <c r="O105" s="65">
        <f>ROUND(41220.83/3.4528,0)</f>
        <v>11938</v>
      </c>
      <c r="P105" s="70">
        <v>0</v>
      </c>
      <c r="Q105" s="70">
        <v>0</v>
      </c>
      <c r="R105" s="516"/>
      <c r="S105" s="371"/>
      <c r="T105" s="374"/>
      <c r="U105" s="377"/>
      <c r="V105" s="63"/>
      <c r="X105" s="63"/>
      <c r="Y105" s="101"/>
      <c r="Z105" s="63"/>
    </row>
    <row r="106" spans="1:256" s="42" customFormat="1" ht="11.25" customHeight="1" thickBot="1" x14ac:dyDescent="0.25">
      <c r="A106" s="454"/>
      <c r="B106" s="456"/>
      <c r="C106" s="462"/>
      <c r="D106" s="463"/>
      <c r="E106" s="464"/>
      <c r="F106" s="399"/>
      <c r="G106" s="169" t="s">
        <v>84</v>
      </c>
      <c r="H106" s="64">
        <f>SUM(I106:K106)</f>
        <v>289620</v>
      </c>
      <c r="I106" s="44"/>
      <c r="J106" s="44"/>
      <c r="K106" s="65">
        <v>289620</v>
      </c>
      <c r="L106" s="64">
        <f>SUM(M106:O106)</f>
        <v>0</v>
      </c>
      <c r="M106" s="44"/>
      <c r="N106" s="44"/>
      <c r="O106" s="65">
        <v>0</v>
      </c>
      <c r="P106" s="167">
        <v>0</v>
      </c>
      <c r="Q106" s="167">
        <v>0</v>
      </c>
      <c r="R106" s="517"/>
      <c r="S106" s="372"/>
      <c r="T106" s="375"/>
      <c r="U106" s="378"/>
      <c r="V106" s="63"/>
      <c r="X106" s="63"/>
      <c r="Y106" s="101"/>
      <c r="Z106" s="63"/>
    </row>
    <row r="107" spans="1:256" s="42" customFormat="1" ht="25.5" customHeight="1" x14ac:dyDescent="0.2">
      <c r="A107" s="454"/>
      <c r="B107" s="456"/>
      <c r="C107" s="462"/>
      <c r="D107" s="463"/>
      <c r="E107" s="464"/>
      <c r="F107" s="399"/>
      <c r="G107" s="170" t="s">
        <v>12</v>
      </c>
      <c r="H107" s="58">
        <f t="shared" ref="H107:Q107" si="22">SUM(H104:H106)</f>
        <v>303665</v>
      </c>
      <c r="I107" s="59">
        <f t="shared" si="22"/>
        <v>0</v>
      </c>
      <c r="J107" s="59">
        <f t="shared" si="22"/>
        <v>0</v>
      </c>
      <c r="K107" s="60">
        <f t="shared" si="22"/>
        <v>303665</v>
      </c>
      <c r="L107" s="58">
        <f t="shared" si="22"/>
        <v>14045</v>
      </c>
      <c r="M107" s="59">
        <f t="shared" si="22"/>
        <v>0</v>
      </c>
      <c r="N107" s="59">
        <f t="shared" si="22"/>
        <v>0</v>
      </c>
      <c r="O107" s="60">
        <f t="shared" si="22"/>
        <v>14045</v>
      </c>
      <c r="P107" s="83">
        <f t="shared" si="22"/>
        <v>0</v>
      </c>
      <c r="Q107" s="83">
        <f t="shared" si="22"/>
        <v>0</v>
      </c>
      <c r="R107" s="489"/>
      <c r="S107" s="61">
        <f>SUM(S104:S105)</f>
        <v>14</v>
      </c>
      <c r="T107" s="59">
        <f>SUM(T104:T105)</f>
        <v>0</v>
      </c>
      <c r="U107" s="60">
        <f>SUM(U104:U105)</f>
        <v>0</v>
      </c>
      <c r="V107" s="63"/>
      <c r="X107" s="63"/>
      <c r="Y107" s="101"/>
      <c r="Z107" s="63"/>
    </row>
    <row r="108" spans="1:256" s="42" customFormat="1" ht="25.5" hidden="1" customHeight="1" outlineLevel="1" x14ac:dyDescent="0.2">
      <c r="A108" s="186"/>
      <c r="B108" s="178"/>
      <c r="C108" s="178"/>
      <c r="D108" s="142" t="s">
        <v>321</v>
      </c>
      <c r="E108" s="184"/>
      <c r="F108" s="265"/>
      <c r="G108" s="190" t="s">
        <v>84</v>
      </c>
      <c r="H108" s="64">
        <f>SUM(I108:K108)</f>
        <v>289620</v>
      </c>
      <c r="I108" s="178"/>
      <c r="J108" s="178"/>
      <c r="K108" s="191">
        <v>289620</v>
      </c>
      <c r="L108" s="64">
        <f>SUM(M108:O108)</f>
        <v>0</v>
      </c>
      <c r="M108" s="178"/>
      <c r="N108" s="178"/>
      <c r="O108" s="191">
        <v>0</v>
      </c>
      <c r="P108" s="266">
        <v>0</v>
      </c>
      <c r="Q108" s="266">
        <v>0</v>
      </c>
      <c r="R108" s="298"/>
      <c r="S108" s="196"/>
      <c r="T108" s="178"/>
      <c r="U108" s="197"/>
      <c r="V108" s="63"/>
      <c r="X108" s="63"/>
      <c r="Y108" s="101"/>
      <c r="Z108" s="63"/>
    </row>
    <row r="109" spans="1:256" s="42" customFormat="1" ht="12" collapsed="1" thickBot="1" x14ac:dyDescent="0.25">
      <c r="A109" s="454">
        <v>1</v>
      </c>
      <c r="B109" s="456">
        <v>2</v>
      </c>
      <c r="C109" s="462">
        <v>3</v>
      </c>
      <c r="D109" s="463" t="s">
        <v>253</v>
      </c>
      <c r="E109" s="464">
        <v>10</v>
      </c>
      <c r="F109" s="398" t="s">
        <v>182</v>
      </c>
      <c r="G109" s="169" t="s">
        <v>112</v>
      </c>
      <c r="H109" s="64">
        <f>SUM(I109:K109)</f>
        <v>0</v>
      </c>
      <c r="I109" s="44"/>
      <c r="J109" s="44"/>
      <c r="K109" s="65"/>
      <c r="L109" s="64">
        <f>SUM(M109:O109)</f>
        <v>0</v>
      </c>
      <c r="M109" s="44"/>
      <c r="N109" s="44"/>
      <c r="O109" s="65">
        <v>0</v>
      </c>
      <c r="P109" s="70">
        <v>57674</v>
      </c>
      <c r="Q109" s="70"/>
      <c r="R109" s="453" t="s">
        <v>186</v>
      </c>
      <c r="S109" s="586"/>
      <c r="T109" s="587"/>
      <c r="U109" s="378"/>
      <c r="V109" s="63"/>
      <c r="X109" s="63"/>
      <c r="Y109" s="101"/>
      <c r="Z109" s="63"/>
    </row>
    <row r="110" spans="1:256" s="42" customFormat="1" ht="12" thickBot="1" x14ac:dyDescent="0.25">
      <c r="A110" s="454"/>
      <c r="B110" s="456"/>
      <c r="C110" s="462"/>
      <c r="D110" s="463"/>
      <c r="E110" s="464"/>
      <c r="F110" s="399"/>
      <c r="G110" s="169" t="s">
        <v>55</v>
      </c>
      <c r="H110" s="64">
        <f>SUM(I110:K110)</f>
        <v>0</v>
      </c>
      <c r="I110" s="44"/>
      <c r="J110" s="44"/>
      <c r="K110" s="65"/>
      <c r="L110" s="64">
        <f>SUM(M110:O110)</f>
        <v>0</v>
      </c>
      <c r="M110" s="44"/>
      <c r="N110" s="44"/>
      <c r="O110" s="65"/>
      <c r="P110" s="70">
        <f>ROUND(1128448/3.4528,0)</f>
        <v>326821</v>
      </c>
      <c r="Q110" s="70"/>
      <c r="R110" s="516"/>
      <c r="S110" s="586"/>
      <c r="T110" s="587"/>
      <c r="U110" s="369"/>
      <c r="V110" s="63"/>
      <c r="X110" s="63"/>
      <c r="Y110" s="101"/>
      <c r="Z110" s="63"/>
    </row>
    <row r="111" spans="1:256" s="42" customFormat="1" ht="33.75" customHeight="1" thickBot="1" x14ac:dyDescent="0.25">
      <c r="A111" s="454"/>
      <c r="B111" s="456"/>
      <c r="C111" s="462"/>
      <c r="D111" s="463"/>
      <c r="E111" s="464"/>
      <c r="F111" s="399"/>
      <c r="G111" s="172" t="s">
        <v>12</v>
      </c>
      <c r="H111" s="89">
        <f>SUM(H109:H110)</f>
        <v>0</v>
      </c>
      <c r="I111" s="90">
        <f t="shared" ref="I111:Q111" si="23">SUM(I109:I110)</f>
        <v>0</v>
      </c>
      <c r="J111" s="90">
        <f t="shared" si="23"/>
        <v>0</v>
      </c>
      <c r="K111" s="91">
        <f t="shared" si="23"/>
        <v>0</v>
      </c>
      <c r="L111" s="89">
        <f t="shared" si="23"/>
        <v>0</v>
      </c>
      <c r="M111" s="90">
        <f t="shared" si="23"/>
        <v>0</v>
      </c>
      <c r="N111" s="90">
        <f t="shared" si="23"/>
        <v>0</v>
      </c>
      <c r="O111" s="91">
        <f t="shared" si="23"/>
        <v>0</v>
      </c>
      <c r="P111" s="92">
        <f t="shared" si="23"/>
        <v>384495</v>
      </c>
      <c r="Q111" s="92">
        <f t="shared" si="23"/>
        <v>0</v>
      </c>
      <c r="R111" s="516"/>
      <c r="S111" s="61"/>
      <c r="T111" s="59"/>
      <c r="U111" s="60"/>
      <c r="V111" s="63"/>
      <c r="X111" s="63"/>
      <c r="Y111" s="101"/>
      <c r="Z111" s="63"/>
    </row>
    <row r="112" spans="1:256" s="42" customFormat="1" ht="12.75" customHeight="1" thickBot="1" x14ac:dyDescent="0.25">
      <c r="A112" s="102" t="s">
        <v>17</v>
      </c>
      <c r="B112" s="103" t="s">
        <v>18</v>
      </c>
      <c r="C112" s="511" t="s">
        <v>13</v>
      </c>
      <c r="D112" s="512"/>
      <c r="E112" s="512"/>
      <c r="F112" s="512"/>
      <c r="G112" s="513"/>
      <c r="H112" s="94">
        <f>H103+H107+H111</f>
        <v>2245299</v>
      </c>
      <c r="I112" s="94">
        <f t="shared" ref="I112:Q112" si="24">I103+I107+I111</f>
        <v>304430</v>
      </c>
      <c r="J112" s="94">
        <f t="shared" si="24"/>
        <v>0</v>
      </c>
      <c r="K112" s="94">
        <f t="shared" si="24"/>
        <v>1940869</v>
      </c>
      <c r="L112" s="94">
        <f t="shared" si="24"/>
        <v>1619249</v>
      </c>
      <c r="M112" s="94">
        <f t="shared" si="24"/>
        <v>89004</v>
      </c>
      <c r="N112" s="94">
        <f t="shared" si="24"/>
        <v>0</v>
      </c>
      <c r="O112" s="94">
        <f t="shared" si="24"/>
        <v>1530245</v>
      </c>
      <c r="P112" s="94">
        <f t="shared" si="24"/>
        <v>384495</v>
      </c>
      <c r="Q112" s="94">
        <f t="shared" si="24"/>
        <v>0</v>
      </c>
      <c r="R112" s="94" t="s">
        <v>23</v>
      </c>
      <c r="S112" s="50" t="s">
        <v>23</v>
      </c>
      <c r="T112" s="50" t="s">
        <v>23</v>
      </c>
      <c r="U112" s="95" t="s">
        <v>23</v>
      </c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26" ht="15" customHeight="1" thickBot="1" x14ac:dyDescent="0.25">
      <c r="A113" s="93" t="s">
        <v>17</v>
      </c>
      <c r="B113" s="94" t="s">
        <v>19</v>
      </c>
      <c r="C113" s="485" t="s">
        <v>118</v>
      </c>
      <c r="D113" s="485"/>
      <c r="E113" s="485"/>
      <c r="F113" s="485"/>
      <c r="G113" s="485"/>
      <c r="H113" s="535"/>
      <c r="I113" s="535"/>
      <c r="J113" s="535"/>
      <c r="K113" s="535"/>
      <c r="L113" s="535"/>
      <c r="M113" s="535"/>
      <c r="N113" s="535"/>
      <c r="O113" s="535"/>
      <c r="P113" s="485"/>
      <c r="Q113" s="485"/>
      <c r="R113" s="485"/>
      <c r="S113" s="485"/>
      <c r="T113" s="485"/>
      <c r="U113" s="536"/>
      <c r="X113" s="57"/>
      <c r="Y113" s="101"/>
      <c r="Z113" s="57"/>
    </row>
    <row r="114" spans="1:26" s="42" customFormat="1" ht="11.25" customHeight="1" x14ac:dyDescent="0.2">
      <c r="A114" s="454" t="s">
        <v>17</v>
      </c>
      <c r="B114" s="409" t="s">
        <v>19</v>
      </c>
      <c r="C114" s="359" t="s">
        <v>17</v>
      </c>
      <c r="D114" s="514" t="s">
        <v>353</v>
      </c>
      <c r="E114" s="363">
        <v>6</v>
      </c>
      <c r="F114" s="488" t="s">
        <v>182</v>
      </c>
      <c r="G114" s="168" t="s">
        <v>112</v>
      </c>
      <c r="H114" s="51">
        <f>SUM(I114:K114)</f>
        <v>307440</v>
      </c>
      <c r="I114" s="104"/>
      <c r="J114" s="104"/>
      <c r="K114" s="40">
        <v>307440</v>
      </c>
      <c r="L114" s="51">
        <f>SUM(M114:O114)</f>
        <v>307440</v>
      </c>
      <c r="M114" s="52"/>
      <c r="N114" s="52"/>
      <c r="O114" s="40">
        <v>307440</v>
      </c>
      <c r="P114" s="53">
        <v>307440</v>
      </c>
      <c r="Q114" s="267"/>
      <c r="R114" s="489" t="s">
        <v>159</v>
      </c>
      <c r="S114" s="372"/>
      <c r="T114" s="387">
        <v>1</v>
      </c>
      <c r="U114" s="378"/>
      <c r="V114" s="63"/>
      <c r="X114" s="63"/>
      <c r="Y114" s="63"/>
      <c r="Z114" s="63"/>
    </row>
    <row r="115" spans="1:26" s="42" customFormat="1" x14ac:dyDescent="0.2">
      <c r="A115" s="454"/>
      <c r="B115" s="456"/>
      <c r="C115" s="359"/>
      <c r="D115" s="514"/>
      <c r="E115" s="363"/>
      <c r="F115" s="365"/>
      <c r="G115" s="169" t="s">
        <v>55</v>
      </c>
      <c r="H115" s="64">
        <f>SUM(I115:K115)</f>
        <v>151530</v>
      </c>
      <c r="I115" s="72"/>
      <c r="J115" s="72"/>
      <c r="K115" s="65">
        <v>151530</v>
      </c>
      <c r="L115" s="64">
        <f>SUM(M115:O115)</f>
        <v>151530</v>
      </c>
      <c r="M115" s="44"/>
      <c r="N115" s="44"/>
      <c r="O115" s="65">
        <v>151530</v>
      </c>
      <c r="P115" s="70">
        <f>ROUND(1046405/2/$W$8,0)</f>
        <v>151530</v>
      </c>
      <c r="Q115" s="74"/>
      <c r="R115" s="418"/>
      <c r="S115" s="510"/>
      <c r="T115" s="426"/>
      <c r="U115" s="369"/>
      <c r="V115" s="63"/>
      <c r="X115" s="63"/>
      <c r="Y115" s="63"/>
      <c r="Z115" s="63"/>
    </row>
    <row r="116" spans="1:26" s="42" customFormat="1" x14ac:dyDescent="0.2">
      <c r="A116" s="454"/>
      <c r="B116" s="456"/>
      <c r="C116" s="359"/>
      <c r="D116" s="514"/>
      <c r="E116" s="363"/>
      <c r="F116" s="365"/>
      <c r="G116" s="169" t="s">
        <v>29</v>
      </c>
      <c r="H116" s="64">
        <f>SUM(I116:K116)</f>
        <v>13370.16</v>
      </c>
      <c r="I116" s="72"/>
      <c r="J116" s="72"/>
      <c r="K116" s="65">
        <f>ROUND(92329/2/$W$8,2)</f>
        <v>13370.16</v>
      </c>
      <c r="L116" s="64">
        <f>SUM(M116:O116)</f>
        <v>13370.16</v>
      </c>
      <c r="M116" s="44"/>
      <c r="N116" s="44"/>
      <c r="O116" s="65">
        <f>ROUND(92329/2/$W$8,2)</f>
        <v>13370.16</v>
      </c>
      <c r="P116" s="70">
        <f>ROUND(92329/2/$W$8,2)</f>
        <v>13370.16</v>
      </c>
      <c r="Q116" s="74"/>
      <c r="R116" s="418"/>
      <c r="S116" s="510"/>
      <c r="T116" s="426"/>
      <c r="U116" s="369"/>
      <c r="V116" s="63"/>
      <c r="X116" s="63"/>
      <c r="Y116" s="63"/>
      <c r="Z116" s="63"/>
    </row>
    <row r="117" spans="1:26" s="42" customFormat="1" ht="25.5" customHeight="1" x14ac:dyDescent="0.2">
      <c r="A117" s="454"/>
      <c r="B117" s="456"/>
      <c r="C117" s="410"/>
      <c r="D117" s="515"/>
      <c r="E117" s="413"/>
      <c r="F117" s="414"/>
      <c r="G117" s="170" t="s">
        <v>12</v>
      </c>
      <c r="H117" s="58">
        <f t="shared" ref="H117:Q117" si="25">SUM(H114:H116)</f>
        <v>472340.16</v>
      </c>
      <c r="I117" s="59">
        <f t="shared" si="25"/>
        <v>0</v>
      </c>
      <c r="J117" s="59">
        <f t="shared" si="25"/>
        <v>0</v>
      </c>
      <c r="K117" s="60">
        <f t="shared" si="25"/>
        <v>472340.16</v>
      </c>
      <c r="L117" s="58">
        <f t="shared" si="25"/>
        <v>472340.16</v>
      </c>
      <c r="M117" s="59">
        <f t="shared" si="25"/>
        <v>0</v>
      </c>
      <c r="N117" s="59">
        <f t="shared" si="25"/>
        <v>0</v>
      </c>
      <c r="O117" s="60">
        <f t="shared" si="25"/>
        <v>472340.16</v>
      </c>
      <c r="P117" s="62">
        <f t="shared" si="25"/>
        <v>472340.16</v>
      </c>
      <c r="Q117" s="61">
        <f t="shared" si="25"/>
        <v>0</v>
      </c>
      <c r="R117" s="418"/>
      <c r="S117" s="61">
        <f>SUM(S114:S116)</f>
        <v>0</v>
      </c>
      <c r="T117" s="59">
        <f>SUM(T114:T116)</f>
        <v>1</v>
      </c>
      <c r="U117" s="60">
        <f>SUM(U114:U116)</f>
        <v>0</v>
      </c>
      <c r="V117" s="63"/>
      <c r="X117" s="63"/>
      <c r="Y117" s="63"/>
      <c r="Z117" s="63"/>
    </row>
    <row r="118" spans="1:26" s="42" customFormat="1" ht="15" customHeight="1" x14ac:dyDescent="0.2">
      <c r="A118" s="354">
        <v>1</v>
      </c>
      <c r="B118" s="356">
        <v>3</v>
      </c>
      <c r="C118" s="358">
        <v>2</v>
      </c>
      <c r="D118" s="360" t="s">
        <v>244</v>
      </c>
      <c r="E118" s="362">
        <v>6</v>
      </c>
      <c r="F118" s="364" t="s">
        <v>182</v>
      </c>
      <c r="G118" s="166" t="s">
        <v>112</v>
      </c>
      <c r="H118" s="64">
        <f>SUM(I118:K118)</f>
        <v>12947</v>
      </c>
      <c r="I118" s="44"/>
      <c r="J118" s="44"/>
      <c r="K118" s="65">
        <v>12947</v>
      </c>
      <c r="L118" s="64">
        <f>SUM(M118:O118)</f>
        <v>12947</v>
      </c>
      <c r="M118" s="44"/>
      <c r="N118" s="44"/>
      <c r="O118" s="65">
        <v>12947</v>
      </c>
      <c r="P118" s="70">
        <v>11946</v>
      </c>
      <c r="Q118" s="99"/>
      <c r="R118" s="342" t="s">
        <v>159</v>
      </c>
      <c r="S118" s="507"/>
      <c r="T118" s="385">
        <v>1</v>
      </c>
      <c r="U118" s="351"/>
      <c r="V118" s="63"/>
      <c r="X118" s="63"/>
      <c r="Y118" s="63"/>
      <c r="Z118" s="63"/>
    </row>
    <row r="119" spans="1:26" s="42" customFormat="1" ht="14.25" customHeight="1" x14ac:dyDescent="0.2">
      <c r="A119" s="355"/>
      <c r="B119" s="357"/>
      <c r="C119" s="359"/>
      <c r="D119" s="361"/>
      <c r="E119" s="363"/>
      <c r="F119" s="365"/>
      <c r="G119" s="169" t="s">
        <v>55</v>
      </c>
      <c r="H119" s="64">
        <f>SUM(I119:K119)</f>
        <v>135395</v>
      </c>
      <c r="I119" s="44"/>
      <c r="J119" s="44"/>
      <c r="K119" s="65">
        <v>135395</v>
      </c>
      <c r="L119" s="64">
        <f>SUM(M119:O119)</f>
        <v>135395</v>
      </c>
      <c r="M119" s="44"/>
      <c r="N119" s="44"/>
      <c r="O119" s="65">
        <v>135395</v>
      </c>
      <c r="P119" s="70">
        <v>135395</v>
      </c>
      <c r="Q119" s="99"/>
      <c r="R119" s="343"/>
      <c r="S119" s="508"/>
      <c r="T119" s="386"/>
      <c r="U119" s="352"/>
      <c r="V119" s="63"/>
      <c r="X119" s="63"/>
      <c r="Y119" s="63"/>
      <c r="Z119" s="63"/>
    </row>
    <row r="120" spans="1:26" s="42" customFormat="1" ht="10.5" customHeight="1" x14ac:dyDescent="0.2">
      <c r="A120" s="355"/>
      <c r="B120" s="357"/>
      <c r="C120" s="359"/>
      <c r="D120" s="361"/>
      <c r="E120" s="363"/>
      <c r="F120" s="365"/>
      <c r="G120" s="169" t="s">
        <v>29</v>
      </c>
      <c r="H120" s="64">
        <f>SUM(I120:K120)</f>
        <v>11946</v>
      </c>
      <c r="I120" s="44"/>
      <c r="J120" s="44"/>
      <c r="K120" s="65">
        <v>11946</v>
      </c>
      <c r="L120" s="64">
        <f>SUM(M120:O120)</f>
        <v>11946</v>
      </c>
      <c r="M120" s="44"/>
      <c r="N120" s="44"/>
      <c r="O120" s="65">
        <v>11946</v>
      </c>
      <c r="P120" s="70">
        <v>11946</v>
      </c>
      <c r="Q120" s="99"/>
      <c r="R120" s="343"/>
      <c r="S120" s="509"/>
      <c r="T120" s="387"/>
      <c r="U120" s="353"/>
      <c r="V120" s="63"/>
      <c r="X120" s="63"/>
      <c r="Y120" s="63"/>
      <c r="Z120" s="63"/>
    </row>
    <row r="121" spans="1:26" s="42" customFormat="1" ht="17.25" customHeight="1" x14ac:dyDescent="0.2">
      <c r="A121" s="471"/>
      <c r="B121" s="409"/>
      <c r="C121" s="410"/>
      <c r="D121" s="473"/>
      <c r="E121" s="413"/>
      <c r="F121" s="414"/>
      <c r="G121" s="170" t="s">
        <v>12</v>
      </c>
      <c r="H121" s="58">
        <f t="shared" ref="H121:Q121" si="26">SUM(H118:H120)</f>
        <v>160288</v>
      </c>
      <c r="I121" s="59">
        <f t="shared" si="26"/>
        <v>0</v>
      </c>
      <c r="J121" s="59">
        <f t="shared" si="26"/>
        <v>0</v>
      </c>
      <c r="K121" s="60">
        <f t="shared" si="26"/>
        <v>160288</v>
      </c>
      <c r="L121" s="58">
        <f t="shared" si="26"/>
        <v>160288</v>
      </c>
      <c r="M121" s="59">
        <f t="shared" si="26"/>
        <v>0</v>
      </c>
      <c r="N121" s="59">
        <f t="shared" si="26"/>
        <v>0</v>
      </c>
      <c r="O121" s="60">
        <f t="shared" si="26"/>
        <v>160288</v>
      </c>
      <c r="P121" s="62">
        <f t="shared" si="26"/>
        <v>159287</v>
      </c>
      <c r="Q121" s="61">
        <f t="shared" si="26"/>
        <v>0</v>
      </c>
      <c r="R121" s="344"/>
      <c r="S121" s="61"/>
      <c r="T121" s="59"/>
      <c r="U121" s="60"/>
      <c r="V121" s="63"/>
      <c r="X121" s="63"/>
      <c r="Y121" s="63"/>
      <c r="Z121" s="63"/>
    </row>
    <row r="122" spans="1:26" s="42" customFormat="1" x14ac:dyDescent="0.2">
      <c r="A122" s="454" t="s">
        <v>17</v>
      </c>
      <c r="B122" s="456" t="s">
        <v>19</v>
      </c>
      <c r="C122" s="462">
        <v>3</v>
      </c>
      <c r="D122" s="360" t="s">
        <v>75</v>
      </c>
      <c r="E122" s="362">
        <v>6</v>
      </c>
      <c r="F122" s="364" t="s">
        <v>182</v>
      </c>
      <c r="G122" s="169" t="s">
        <v>112</v>
      </c>
      <c r="H122" s="64">
        <f>SUM(I122:K122)</f>
        <v>190467</v>
      </c>
      <c r="I122" s="78"/>
      <c r="J122" s="78"/>
      <c r="K122" s="65">
        <f>ROUND((444000+47237.64+58729.72+7675.76+100000)/$W$8,0)</f>
        <v>190467</v>
      </c>
      <c r="L122" s="64">
        <f>SUM(M122:O122)</f>
        <v>181760</v>
      </c>
      <c r="M122" s="44"/>
      <c r="N122" s="44"/>
      <c r="O122" s="65">
        <f>ROUND((444000+47237.64+58729.72+7675.76+100000)/$W$8,0)-8707</f>
        <v>181760</v>
      </c>
      <c r="P122" s="106"/>
      <c r="Q122" s="98"/>
      <c r="R122" s="418" t="s">
        <v>159</v>
      </c>
      <c r="S122" s="499">
        <v>1</v>
      </c>
      <c r="T122" s="500"/>
      <c r="U122" s="394"/>
      <c r="V122" s="63"/>
    </row>
    <row r="123" spans="1:26" s="42" customFormat="1" x14ac:dyDescent="0.2">
      <c r="A123" s="454"/>
      <c r="B123" s="456"/>
      <c r="C123" s="462"/>
      <c r="D123" s="361"/>
      <c r="E123" s="363"/>
      <c r="F123" s="365"/>
      <c r="G123" s="169" t="s">
        <v>55</v>
      </c>
      <c r="H123" s="64">
        <f>SUM(I123:K123)</f>
        <v>495766</v>
      </c>
      <c r="I123" s="78"/>
      <c r="J123" s="78"/>
      <c r="K123" s="65">
        <f>ROUND((1684411.71+27370.65)/$W$8,0)</f>
        <v>495766</v>
      </c>
      <c r="L123" s="64">
        <f>SUM(M123:O123)</f>
        <v>495766</v>
      </c>
      <c r="M123" s="44"/>
      <c r="N123" s="44"/>
      <c r="O123" s="65">
        <f>ROUND((1684411.71+27370.65)/$W$8,0)</f>
        <v>495766</v>
      </c>
      <c r="P123" s="106"/>
      <c r="Q123" s="98"/>
      <c r="R123" s="418"/>
      <c r="S123" s="499"/>
      <c r="T123" s="500"/>
      <c r="U123" s="394"/>
      <c r="V123" s="63"/>
    </row>
    <row r="124" spans="1:26" s="42" customFormat="1" ht="12.75" customHeight="1" x14ac:dyDescent="0.2">
      <c r="A124" s="454"/>
      <c r="B124" s="456"/>
      <c r="C124" s="462"/>
      <c r="D124" s="361"/>
      <c r="E124" s="363"/>
      <c r="F124" s="365"/>
      <c r="G124" s="537" t="s">
        <v>29</v>
      </c>
      <c r="H124" s="345">
        <f>SUM(I124:K125)</f>
        <v>43405</v>
      </c>
      <c r="I124" s="539"/>
      <c r="J124" s="539"/>
      <c r="K124" s="376">
        <f>ROUND((147472.43+2396.34)/$W$8,0)</f>
        <v>43405</v>
      </c>
      <c r="L124" s="345">
        <f>SUM(M124:O125)</f>
        <v>43405</v>
      </c>
      <c r="M124" s="385"/>
      <c r="N124" s="385"/>
      <c r="O124" s="376">
        <f>ROUND((147472.43+2396.34)/$W$8,0)</f>
        <v>43405</v>
      </c>
      <c r="P124" s="597"/>
      <c r="Q124" s="518"/>
      <c r="R124" s="418"/>
      <c r="S124" s="499"/>
      <c r="T124" s="500"/>
      <c r="U124" s="394"/>
      <c r="V124" s="63"/>
    </row>
    <row r="125" spans="1:26" s="42" customFormat="1" ht="10.5" customHeight="1" x14ac:dyDescent="0.2">
      <c r="A125" s="454"/>
      <c r="B125" s="456"/>
      <c r="C125" s="462"/>
      <c r="D125" s="361"/>
      <c r="E125" s="363"/>
      <c r="F125" s="365"/>
      <c r="G125" s="538"/>
      <c r="H125" s="347"/>
      <c r="I125" s="540"/>
      <c r="J125" s="540"/>
      <c r="K125" s="378"/>
      <c r="L125" s="347"/>
      <c r="M125" s="387"/>
      <c r="N125" s="387"/>
      <c r="O125" s="378"/>
      <c r="P125" s="598"/>
      <c r="Q125" s="519"/>
      <c r="R125" s="418"/>
      <c r="S125" s="499"/>
      <c r="T125" s="500"/>
      <c r="U125" s="394"/>
      <c r="V125" s="63"/>
    </row>
    <row r="126" spans="1:26" s="42" customFormat="1" ht="10.5" x14ac:dyDescent="0.2">
      <c r="A126" s="454"/>
      <c r="B126" s="456"/>
      <c r="C126" s="462"/>
      <c r="D126" s="473"/>
      <c r="E126" s="413"/>
      <c r="F126" s="414"/>
      <c r="G126" s="170" t="s">
        <v>12</v>
      </c>
      <c r="H126" s="58">
        <f>SUM(H122:H125)</f>
        <v>729638</v>
      </c>
      <c r="I126" s="59">
        <f>SUM(I122:I125)</f>
        <v>0</v>
      </c>
      <c r="J126" s="59">
        <f>SUM(J122:J125)</f>
        <v>0</v>
      </c>
      <c r="K126" s="60">
        <f>SUM(K122:K124)</f>
        <v>729638</v>
      </c>
      <c r="L126" s="58">
        <f>SUM(L122:L125)</f>
        <v>720931</v>
      </c>
      <c r="M126" s="59">
        <f>SUM(M122:M125)</f>
        <v>0</v>
      </c>
      <c r="N126" s="59">
        <f>SUM(N122:N125)</f>
        <v>0</v>
      </c>
      <c r="O126" s="60">
        <f>SUM(O122:O124)</f>
        <v>720931</v>
      </c>
      <c r="P126" s="62">
        <f>SUM(P122:P125)</f>
        <v>0</v>
      </c>
      <c r="Q126" s="61">
        <f>SUM(Q122:Q125)</f>
        <v>0</v>
      </c>
      <c r="R126" s="418"/>
      <c r="S126" s="61">
        <f>SUM(S122:S125)</f>
        <v>1</v>
      </c>
      <c r="T126" s="59">
        <f>SUM(T122:T125)</f>
        <v>0</v>
      </c>
      <c r="U126" s="60">
        <f>SUM(U122:U125)</f>
        <v>0</v>
      </c>
      <c r="V126" s="63"/>
    </row>
    <row r="127" spans="1:26" s="42" customFormat="1" x14ac:dyDescent="0.2">
      <c r="A127" s="454" t="s">
        <v>17</v>
      </c>
      <c r="B127" s="456" t="s">
        <v>19</v>
      </c>
      <c r="C127" s="462">
        <v>4</v>
      </c>
      <c r="D127" s="360" t="s">
        <v>76</v>
      </c>
      <c r="E127" s="362">
        <v>6</v>
      </c>
      <c r="F127" s="364" t="s">
        <v>182</v>
      </c>
      <c r="G127" s="169" t="s">
        <v>112</v>
      </c>
      <c r="H127" s="64">
        <f>SUM(I127:K127)</f>
        <v>31849</v>
      </c>
      <c r="I127" s="78"/>
      <c r="J127" s="78"/>
      <c r="K127" s="65">
        <f>ROUND(109969.93/3.4528,0)</f>
        <v>31849</v>
      </c>
      <c r="L127" s="64">
        <f>SUM(M127:O127)</f>
        <v>31849</v>
      </c>
      <c r="M127" s="44"/>
      <c r="N127" s="44"/>
      <c r="O127" s="65">
        <f>ROUND(109969.93/3.4528,0)</f>
        <v>31849</v>
      </c>
      <c r="P127" s="80"/>
      <c r="Q127" s="98"/>
      <c r="R127" s="423" t="s">
        <v>159</v>
      </c>
      <c r="S127" s="395">
        <v>2</v>
      </c>
      <c r="T127" s="391"/>
      <c r="U127" s="366"/>
      <c r="V127" s="63"/>
    </row>
    <row r="128" spans="1:26" s="42" customFormat="1" x14ac:dyDescent="0.2">
      <c r="A128" s="454"/>
      <c r="B128" s="456"/>
      <c r="C128" s="462"/>
      <c r="D128" s="361"/>
      <c r="E128" s="363"/>
      <c r="F128" s="365"/>
      <c r="G128" s="169" t="s">
        <v>55</v>
      </c>
      <c r="H128" s="64">
        <f>SUM(I128:K128)</f>
        <v>165617</v>
      </c>
      <c r="I128" s="78"/>
      <c r="J128" s="78"/>
      <c r="K128" s="65">
        <f>ROUND(571843.64/3.4528,0)</f>
        <v>165617</v>
      </c>
      <c r="L128" s="64">
        <f>SUM(M128:O128)</f>
        <v>165617</v>
      </c>
      <c r="M128" s="44"/>
      <c r="N128" s="44"/>
      <c r="O128" s="65">
        <f>ROUND(571843.64/3.4528,0)</f>
        <v>165617</v>
      </c>
      <c r="P128" s="80"/>
      <c r="Q128" s="98"/>
      <c r="R128" s="423"/>
      <c r="S128" s="396"/>
      <c r="T128" s="381"/>
      <c r="U128" s="367"/>
      <c r="V128" s="63"/>
    </row>
    <row r="129" spans="1:22" s="42" customFormat="1" x14ac:dyDescent="0.2">
      <c r="A129" s="454"/>
      <c r="B129" s="456"/>
      <c r="C129" s="462"/>
      <c r="D129" s="361"/>
      <c r="E129" s="363"/>
      <c r="F129" s="365"/>
      <c r="G129" s="169" t="s">
        <v>29</v>
      </c>
      <c r="H129" s="64">
        <f>SUM(I129:K129)</f>
        <v>14863</v>
      </c>
      <c r="I129" s="78"/>
      <c r="J129" s="78"/>
      <c r="K129" s="65">
        <f>ROUND(51319.3/3.4528,0)</f>
        <v>14863</v>
      </c>
      <c r="L129" s="64">
        <f>SUM(M129:O129)</f>
        <v>14863</v>
      </c>
      <c r="M129" s="44"/>
      <c r="N129" s="44"/>
      <c r="O129" s="65">
        <f>ROUND(51319.3/3.4528,0)</f>
        <v>14863</v>
      </c>
      <c r="P129" s="80"/>
      <c r="Q129" s="98"/>
      <c r="R129" s="423"/>
      <c r="S129" s="396"/>
      <c r="T129" s="381"/>
      <c r="U129" s="367"/>
      <c r="V129" s="63"/>
    </row>
    <row r="130" spans="1:22" s="42" customFormat="1" x14ac:dyDescent="0.2">
      <c r="A130" s="454"/>
      <c r="B130" s="456"/>
      <c r="C130" s="462"/>
      <c r="D130" s="361"/>
      <c r="E130" s="363"/>
      <c r="F130" s="365"/>
      <c r="G130" s="169" t="s">
        <v>258</v>
      </c>
      <c r="H130" s="64">
        <f>SUM(I130:K130)</f>
        <v>9000</v>
      </c>
      <c r="I130" s="78"/>
      <c r="J130" s="78"/>
      <c r="K130" s="65">
        <v>9000</v>
      </c>
      <c r="L130" s="64">
        <f>SUM(M130:O130)</f>
        <v>6000</v>
      </c>
      <c r="M130" s="44"/>
      <c r="N130" s="44"/>
      <c r="O130" s="65">
        <f>9000-3000</f>
        <v>6000</v>
      </c>
      <c r="P130" s="80"/>
      <c r="Q130" s="105"/>
      <c r="R130" s="423"/>
      <c r="S130" s="396"/>
      <c r="T130" s="381"/>
      <c r="U130" s="367"/>
      <c r="V130" s="63"/>
    </row>
    <row r="131" spans="1:22" s="42" customFormat="1" x14ac:dyDescent="0.2">
      <c r="A131" s="454"/>
      <c r="B131" s="456"/>
      <c r="C131" s="462"/>
      <c r="D131" s="361"/>
      <c r="E131" s="363"/>
      <c r="F131" s="365"/>
      <c r="G131" s="169" t="s">
        <v>84</v>
      </c>
      <c r="H131" s="64">
        <f>SUM(I131:K131)</f>
        <v>176089</v>
      </c>
      <c r="I131" s="78"/>
      <c r="J131" s="78"/>
      <c r="K131" s="65">
        <f>26790+3041+72405+28962+43443+1448</f>
        <v>176089</v>
      </c>
      <c r="L131" s="64">
        <f>SUM(M131:O131)</f>
        <v>0</v>
      </c>
      <c r="M131" s="44"/>
      <c r="N131" s="44"/>
      <c r="O131" s="65">
        <v>0</v>
      </c>
      <c r="P131" s="80"/>
      <c r="Q131" s="105"/>
      <c r="R131" s="423"/>
      <c r="S131" s="397"/>
      <c r="T131" s="382"/>
      <c r="U131" s="368"/>
      <c r="V131" s="63"/>
    </row>
    <row r="132" spans="1:22" s="42" customFormat="1" ht="10.5" x14ac:dyDescent="0.2">
      <c r="A132" s="454"/>
      <c r="B132" s="456"/>
      <c r="C132" s="462"/>
      <c r="D132" s="473"/>
      <c r="E132" s="413"/>
      <c r="F132" s="414"/>
      <c r="G132" s="170" t="s">
        <v>12</v>
      </c>
      <c r="H132" s="58">
        <f t="shared" ref="H132:Q132" si="27">SUM(H127:H131)</f>
        <v>397418</v>
      </c>
      <c r="I132" s="59">
        <f t="shared" si="27"/>
        <v>0</v>
      </c>
      <c r="J132" s="59">
        <f t="shared" si="27"/>
        <v>0</v>
      </c>
      <c r="K132" s="60">
        <f t="shared" si="27"/>
        <v>397418</v>
      </c>
      <c r="L132" s="58">
        <f t="shared" si="27"/>
        <v>218329</v>
      </c>
      <c r="M132" s="59">
        <f t="shared" si="27"/>
        <v>0</v>
      </c>
      <c r="N132" s="59">
        <f t="shared" si="27"/>
        <v>0</v>
      </c>
      <c r="O132" s="60">
        <f t="shared" si="27"/>
        <v>218329</v>
      </c>
      <c r="P132" s="62">
        <f t="shared" si="27"/>
        <v>0</v>
      </c>
      <c r="Q132" s="61">
        <f t="shared" si="27"/>
        <v>0</v>
      </c>
      <c r="R132" s="423"/>
      <c r="S132" s="61">
        <f>SUM(S127:S129)</f>
        <v>2</v>
      </c>
      <c r="T132" s="59">
        <f>SUM(T127:T129)</f>
        <v>0</v>
      </c>
      <c r="U132" s="60">
        <f>SUM(U127:U129)</f>
        <v>0</v>
      </c>
      <c r="V132" s="63"/>
    </row>
    <row r="133" spans="1:22" s="42" customFormat="1" ht="40.5" hidden="1" customHeight="1" outlineLevel="1" x14ac:dyDescent="0.2">
      <c r="A133" s="186">
        <v>1</v>
      </c>
      <c r="B133" s="178">
        <v>3</v>
      </c>
      <c r="C133" s="187" t="s">
        <v>290</v>
      </c>
      <c r="D133" s="142" t="s">
        <v>291</v>
      </c>
      <c r="E133" s="188"/>
      <c r="F133" s="189"/>
      <c r="G133" s="190" t="s">
        <v>84</v>
      </c>
      <c r="H133" s="186">
        <f t="shared" ref="H133:H140" si="28">SUM(I133:K133)</f>
        <v>26790</v>
      </c>
      <c r="I133" s="182"/>
      <c r="J133" s="182"/>
      <c r="K133" s="191">
        <v>26790</v>
      </c>
      <c r="L133" s="181"/>
      <c r="M133" s="182"/>
      <c r="N133" s="182"/>
      <c r="O133" s="183"/>
      <c r="P133" s="259"/>
      <c r="Q133" s="192"/>
      <c r="R133" s="262"/>
      <c r="S133" s="299"/>
      <c r="T133" s="193"/>
      <c r="U133" s="194"/>
      <c r="V133" s="63"/>
    </row>
    <row r="134" spans="1:22" s="42" customFormat="1" ht="53.25" hidden="1" customHeight="1" outlineLevel="1" x14ac:dyDescent="0.2">
      <c r="A134" s="186">
        <v>1</v>
      </c>
      <c r="B134" s="178">
        <v>3</v>
      </c>
      <c r="C134" s="187" t="s">
        <v>292</v>
      </c>
      <c r="D134" s="142" t="s">
        <v>293</v>
      </c>
      <c r="E134" s="188"/>
      <c r="F134" s="189"/>
      <c r="G134" s="190" t="s">
        <v>84</v>
      </c>
      <c r="H134" s="186">
        <f t="shared" si="28"/>
        <v>3041</v>
      </c>
      <c r="I134" s="182"/>
      <c r="J134" s="182"/>
      <c r="K134" s="191">
        <v>3041</v>
      </c>
      <c r="L134" s="181"/>
      <c r="M134" s="182"/>
      <c r="N134" s="182"/>
      <c r="O134" s="183"/>
      <c r="P134" s="259"/>
      <c r="Q134" s="192"/>
      <c r="R134" s="262"/>
      <c r="S134" s="299"/>
      <c r="T134" s="193"/>
      <c r="U134" s="194"/>
      <c r="V134" s="63"/>
    </row>
    <row r="135" spans="1:22" s="42" customFormat="1" ht="78" hidden="1" customHeight="1" outlineLevel="1" x14ac:dyDescent="0.2">
      <c r="A135" s="186">
        <v>1</v>
      </c>
      <c r="B135" s="178">
        <v>3</v>
      </c>
      <c r="C135" s="187" t="s">
        <v>311</v>
      </c>
      <c r="D135" s="142" t="s">
        <v>315</v>
      </c>
      <c r="E135" s="188"/>
      <c r="F135" s="189"/>
      <c r="G135" s="190" t="s">
        <v>84</v>
      </c>
      <c r="H135" s="186">
        <f t="shared" si="28"/>
        <v>72405</v>
      </c>
      <c r="I135" s="182"/>
      <c r="J135" s="182"/>
      <c r="K135" s="191">
        <v>72405</v>
      </c>
      <c r="L135" s="181"/>
      <c r="M135" s="182"/>
      <c r="N135" s="182"/>
      <c r="O135" s="183"/>
      <c r="P135" s="259"/>
      <c r="Q135" s="192"/>
      <c r="R135" s="262"/>
      <c r="S135" s="299"/>
      <c r="T135" s="193"/>
      <c r="U135" s="194"/>
      <c r="V135" s="63"/>
    </row>
    <row r="136" spans="1:22" s="42" customFormat="1" ht="53.25" hidden="1" customHeight="1" outlineLevel="1" x14ac:dyDescent="0.2">
      <c r="A136" s="186">
        <v>1</v>
      </c>
      <c r="B136" s="178">
        <v>3</v>
      </c>
      <c r="C136" s="187" t="s">
        <v>312</v>
      </c>
      <c r="D136" s="142" t="s">
        <v>316</v>
      </c>
      <c r="E136" s="188"/>
      <c r="F136" s="189"/>
      <c r="G136" s="190" t="s">
        <v>84</v>
      </c>
      <c r="H136" s="186">
        <f t="shared" si="28"/>
        <v>28962</v>
      </c>
      <c r="I136" s="182"/>
      <c r="J136" s="182"/>
      <c r="K136" s="191">
        <v>28962</v>
      </c>
      <c r="L136" s="181"/>
      <c r="M136" s="182"/>
      <c r="N136" s="182"/>
      <c r="O136" s="183"/>
      <c r="P136" s="259"/>
      <c r="Q136" s="192"/>
      <c r="R136" s="262"/>
      <c r="S136" s="299"/>
      <c r="T136" s="193"/>
      <c r="U136" s="194"/>
      <c r="V136" s="63"/>
    </row>
    <row r="137" spans="1:22" s="42" customFormat="1" ht="53.25" hidden="1" customHeight="1" outlineLevel="1" x14ac:dyDescent="0.2">
      <c r="A137" s="186">
        <v>1</v>
      </c>
      <c r="B137" s="178">
        <v>3</v>
      </c>
      <c r="C137" s="187" t="s">
        <v>313</v>
      </c>
      <c r="D137" s="142" t="s">
        <v>317</v>
      </c>
      <c r="E137" s="188"/>
      <c r="F137" s="189"/>
      <c r="G137" s="190" t="s">
        <v>84</v>
      </c>
      <c r="H137" s="186">
        <f t="shared" si="28"/>
        <v>43443</v>
      </c>
      <c r="I137" s="182"/>
      <c r="J137" s="182"/>
      <c r="K137" s="191">
        <v>43443</v>
      </c>
      <c r="L137" s="181"/>
      <c r="M137" s="182"/>
      <c r="N137" s="182"/>
      <c r="O137" s="183"/>
      <c r="P137" s="259"/>
      <c r="Q137" s="192"/>
      <c r="R137" s="262"/>
      <c r="S137" s="299"/>
      <c r="T137" s="193"/>
      <c r="U137" s="194"/>
      <c r="V137" s="63"/>
    </row>
    <row r="138" spans="1:22" s="42" customFormat="1" ht="53.25" hidden="1" customHeight="1" outlineLevel="1" x14ac:dyDescent="0.2">
      <c r="A138" s="186">
        <v>1</v>
      </c>
      <c r="B138" s="178">
        <v>3</v>
      </c>
      <c r="C138" s="187" t="s">
        <v>314</v>
      </c>
      <c r="D138" s="142" t="s">
        <v>318</v>
      </c>
      <c r="E138" s="188"/>
      <c r="F138" s="189"/>
      <c r="G138" s="190" t="s">
        <v>84</v>
      </c>
      <c r="H138" s="186">
        <f t="shared" si="28"/>
        <v>1448</v>
      </c>
      <c r="I138" s="182"/>
      <c r="J138" s="182"/>
      <c r="K138" s="191">
        <v>1448</v>
      </c>
      <c r="L138" s="181"/>
      <c r="M138" s="182"/>
      <c r="N138" s="182"/>
      <c r="O138" s="183"/>
      <c r="P138" s="259"/>
      <c r="Q138" s="192"/>
      <c r="R138" s="262"/>
      <c r="S138" s="299"/>
      <c r="T138" s="193"/>
      <c r="U138" s="194"/>
      <c r="V138" s="63"/>
    </row>
    <row r="139" spans="1:22" s="42" customFormat="1" ht="11.25" customHeight="1" collapsed="1" x14ac:dyDescent="0.2">
      <c r="A139" s="454" t="s">
        <v>17</v>
      </c>
      <c r="B139" s="456" t="s">
        <v>19</v>
      </c>
      <c r="C139" s="358">
        <v>5</v>
      </c>
      <c r="D139" s="360" t="s">
        <v>232</v>
      </c>
      <c r="E139" s="362">
        <v>9</v>
      </c>
      <c r="F139" s="364" t="s">
        <v>182</v>
      </c>
      <c r="G139" s="169" t="s">
        <v>112</v>
      </c>
      <c r="H139" s="64">
        <f t="shared" si="28"/>
        <v>4344</v>
      </c>
      <c r="I139" s="78"/>
      <c r="J139" s="78"/>
      <c r="K139" s="79">
        <v>4344</v>
      </c>
      <c r="L139" s="64">
        <f>SUM(M139:O139)</f>
        <v>4344</v>
      </c>
      <c r="M139" s="44"/>
      <c r="N139" s="44"/>
      <c r="O139" s="65">
        <v>4344</v>
      </c>
      <c r="P139" s="80">
        <v>24050</v>
      </c>
      <c r="Q139" s="258">
        <v>24500</v>
      </c>
      <c r="R139" s="423" t="s">
        <v>159</v>
      </c>
      <c r="S139" s="395"/>
      <c r="T139" s="391"/>
      <c r="U139" s="366">
        <v>1</v>
      </c>
      <c r="V139" s="63"/>
    </row>
    <row r="140" spans="1:22" s="42" customFormat="1" ht="11.25" customHeight="1" x14ac:dyDescent="0.2">
      <c r="A140" s="454"/>
      <c r="B140" s="456"/>
      <c r="C140" s="359"/>
      <c r="D140" s="361"/>
      <c r="E140" s="363"/>
      <c r="F140" s="365"/>
      <c r="G140" s="169" t="s">
        <v>56</v>
      </c>
      <c r="H140" s="64">
        <f t="shared" si="28"/>
        <v>0</v>
      </c>
      <c r="I140" s="78"/>
      <c r="J140" s="78"/>
      <c r="K140" s="79">
        <v>0</v>
      </c>
      <c r="L140" s="64">
        <f>SUM(M140:O140)</f>
        <v>0</v>
      </c>
      <c r="M140" s="44"/>
      <c r="N140" s="44"/>
      <c r="O140" s="65">
        <v>0</v>
      </c>
      <c r="P140" s="80">
        <v>700000</v>
      </c>
      <c r="Q140" s="258">
        <v>700000</v>
      </c>
      <c r="R140" s="423"/>
      <c r="S140" s="396"/>
      <c r="T140" s="381"/>
      <c r="U140" s="367"/>
      <c r="V140" s="63"/>
    </row>
    <row r="141" spans="1:22" s="42" customFormat="1" ht="11.25" customHeight="1" x14ac:dyDescent="0.2">
      <c r="A141" s="454"/>
      <c r="B141" s="456"/>
      <c r="C141" s="410"/>
      <c r="D141" s="473"/>
      <c r="E141" s="413"/>
      <c r="F141" s="414"/>
      <c r="G141" s="170" t="s">
        <v>12</v>
      </c>
      <c r="H141" s="58">
        <f t="shared" ref="H141:Q141" si="29">SUM(H139:H140)</f>
        <v>4344</v>
      </c>
      <c r="I141" s="59">
        <f t="shared" si="29"/>
        <v>0</v>
      </c>
      <c r="J141" s="59">
        <f t="shared" si="29"/>
        <v>0</v>
      </c>
      <c r="K141" s="60">
        <f t="shared" si="29"/>
        <v>4344</v>
      </c>
      <c r="L141" s="58">
        <f t="shared" si="29"/>
        <v>4344</v>
      </c>
      <c r="M141" s="59">
        <f t="shared" si="29"/>
        <v>0</v>
      </c>
      <c r="N141" s="59">
        <f t="shared" si="29"/>
        <v>0</v>
      </c>
      <c r="O141" s="60">
        <f t="shared" si="29"/>
        <v>4344</v>
      </c>
      <c r="P141" s="62">
        <f t="shared" si="29"/>
        <v>724050</v>
      </c>
      <c r="Q141" s="61">
        <f t="shared" si="29"/>
        <v>724500</v>
      </c>
      <c r="R141" s="423"/>
      <c r="S141" s="61">
        <f>SUM(S139:S140)</f>
        <v>0</v>
      </c>
      <c r="T141" s="59">
        <f>SUM(T139:T140)</f>
        <v>0</v>
      </c>
      <c r="U141" s="60">
        <f>SUM(U139:U140)</f>
        <v>1</v>
      </c>
      <c r="V141" s="63"/>
    </row>
    <row r="142" spans="1:22" s="42" customFormat="1" ht="11.25" hidden="1" customHeight="1" outlineLevel="1" x14ac:dyDescent="0.2">
      <c r="A142" s="599"/>
      <c r="B142" s="590"/>
      <c r="C142" s="590"/>
      <c r="D142" s="142" t="s">
        <v>346</v>
      </c>
      <c r="E142" s="593"/>
      <c r="F142" s="605"/>
      <c r="G142" s="190" t="s">
        <v>112</v>
      </c>
      <c r="H142" s="186">
        <f>SUM(I142:K142)</f>
        <v>4344</v>
      </c>
      <c r="I142" s="178"/>
      <c r="J142" s="178"/>
      <c r="K142" s="191">
        <f>K139</f>
        <v>4344</v>
      </c>
      <c r="L142" s="186">
        <f>SUM(M142:O142)</f>
        <v>4344</v>
      </c>
      <c r="M142" s="178"/>
      <c r="N142" s="178"/>
      <c r="O142" s="191">
        <f>O139</f>
        <v>4344</v>
      </c>
      <c r="P142" s="247"/>
      <c r="Q142" s="257"/>
      <c r="R142" s="262"/>
      <c r="S142" s="260"/>
      <c r="T142" s="249"/>
      <c r="U142" s="250"/>
      <c r="V142" s="63"/>
    </row>
    <row r="143" spans="1:22" s="42" customFormat="1" ht="11.25" hidden="1" customHeight="1" outlineLevel="1" x14ac:dyDescent="0.2">
      <c r="A143" s="600"/>
      <c r="B143" s="591"/>
      <c r="C143" s="591"/>
      <c r="D143" s="532" t="s">
        <v>341</v>
      </c>
      <c r="E143" s="594"/>
      <c r="F143" s="606"/>
      <c r="G143" s="190" t="s">
        <v>112</v>
      </c>
      <c r="H143" s="186">
        <f>SUM(I143:K143)</f>
        <v>0</v>
      </c>
      <c r="I143" s="178"/>
      <c r="J143" s="178"/>
      <c r="K143" s="191">
        <f>K139-K142</f>
        <v>0</v>
      </c>
      <c r="L143" s="186">
        <f>SUM(M143:O143)</f>
        <v>0</v>
      </c>
      <c r="M143" s="178"/>
      <c r="N143" s="178"/>
      <c r="O143" s="191">
        <f>O139-O142</f>
        <v>0</v>
      </c>
      <c r="P143" s="247">
        <f>P139</f>
        <v>24050</v>
      </c>
      <c r="Q143" s="257">
        <f>Q139</f>
        <v>24500</v>
      </c>
      <c r="R143" s="262"/>
      <c r="S143" s="260"/>
      <c r="T143" s="249"/>
      <c r="U143" s="250"/>
      <c r="V143" s="63"/>
    </row>
    <row r="144" spans="1:22" s="42" customFormat="1" ht="11.25" hidden="1" customHeight="1" outlineLevel="1" x14ac:dyDescent="0.2">
      <c r="A144" s="601"/>
      <c r="B144" s="592"/>
      <c r="C144" s="592"/>
      <c r="D144" s="533"/>
      <c r="E144" s="595"/>
      <c r="F144" s="607"/>
      <c r="G144" s="190" t="s">
        <v>55</v>
      </c>
      <c r="H144" s="186">
        <f t="shared" ref="H144:O144" si="30">H140</f>
        <v>0</v>
      </c>
      <c r="I144" s="178">
        <f t="shared" si="30"/>
        <v>0</v>
      </c>
      <c r="J144" s="178">
        <f t="shared" si="30"/>
        <v>0</v>
      </c>
      <c r="K144" s="191">
        <f t="shared" si="30"/>
        <v>0</v>
      </c>
      <c r="L144" s="186">
        <f t="shared" si="30"/>
        <v>0</v>
      </c>
      <c r="M144" s="178">
        <f t="shared" si="30"/>
        <v>0</v>
      </c>
      <c r="N144" s="178">
        <f t="shared" si="30"/>
        <v>0</v>
      </c>
      <c r="O144" s="191">
        <f t="shared" si="30"/>
        <v>0</v>
      </c>
      <c r="P144" s="247">
        <f>P140</f>
        <v>700000</v>
      </c>
      <c r="Q144" s="257">
        <f>Q140</f>
        <v>700000</v>
      </c>
      <c r="R144" s="262"/>
      <c r="S144" s="260"/>
      <c r="T144" s="249"/>
      <c r="U144" s="250"/>
      <c r="V144" s="63"/>
    </row>
    <row r="145" spans="1:22" s="42" customFormat="1" ht="15" customHeight="1" collapsed="1" x14ac:dyDescent="0.2">
      <c r="A145" s="454" t="s">
        <v>17</v>
      </c>
      <c r="B145" s="456" t="s">
        <v>19</v>
      </c>
      <c r="C145" s="358" t="s">
        <v>22</v>
      </c>
      <c r="D145" s="360" t="s">
        <v>77</v>
      </c>
      <c r="E145" s="362">
        <v>8</v>
      </c>
      <c r="F145" s="364" t="s">
        <v>182</v>
      </c>
      <c r="G145" s="169" t="s">
        <v>112</v>
      </c>
      <c r="H145" s="64">
        <f>SUM(I145:K145)</f>
        <v>58619</v>
      </c>
      <c r="I145" s="78"/>
      <c r="J145" s="78"/>
      <c r="K145" s="79">
        <f>ROUND(202400/3.4528,0)</f>
        <v>58619</v>
      </c>
      <c r="L145" s="64">
        <f>SUM(M145:O145)</f>
        <v>58619</v>
      </c>
      <c r="M145" s="44"/>
      <c r="N145" s="44"/>
      <c r="O145" s="79">
        <f>ROUND(202400/3.4528,0)</f>
        <v>58619</v>
      </c>
      <c r="P145" s="80">
        <f>ROUND(202400/3.4528,0)</f>
        <v>58619</v>
      </c>
      <c r="Q145" s="258"/>
      <c r="R145" s="522" t="s">
        <v>159</v>
      </c>
      <c r="S145" s="525"/>
      <c r="T145" s="468"/>
      <c r="U145" s="394">
        <v>1</v>
      </c>
      <c r="V145" s="63"/>
    </row>
    <row r="146" spans="1:22" s="42" customFormat="1" ht="16.5" customHeight="1" x14ac:dyDescent="0.2">
      <c r="A146" s="454"/>
      <c r="B146" s="456"/>
      <c r="C146" s="359"/>
      <c r="D146" s="361"/>
      <c r="E146" s="363"/>
      <c r="F146" s="365"/>
      <c r="G146" s="169" t="s">
        <v>55</v>
      </c>
      <c r="H146" s="64">
        <f>SUM(I146:K146)</f>
        <v>332107</v>
      </c>
      <c r="I146" s="78"/>
      <c r="J146" s="78"/>
      <c r="K146" s="79">
        <f>ROUND(1146700/3.4528,0)</f>
        <v>332107</v>
      </c>
      <c r="L146" s="64">
        <f>SUM(M146:O146)</f>
        <v>332107</v>
      </c>
      <c r="M146" s="44"/>
      <c r="N146" s="44"/>
      <c r="O146" s="79">
        <f>ROUND(1146700/3.4528,0)</f>
        <v>332107</v>
      </c>
      <c r="P146" s="80">
        <f>ROUND(1146700/3.4528,0)</f>
        <v>332107</v>
      </c>
      <c r="Q146" s="258"/>
      <c r="R146" s="523"/>
      <c r="S146" s="525"/>
      <c r="T146" s="468"/>
      <c r="U146" s="394"/>
      <c r="V146" s="63"/>
    </row>
    <row r="147" spans="1:22" s="42" customFormat="1" ht="17.25" customHeight="1" x14ac:dyDescent="0.2">
      <c r="A147" s="454"/>
      <c r="B147" s="456"/>
      <c r="C147" s="410"/>
      <c r="D147" s="473"/>
      <c r="E147" s="413"/>
      <c r="F147" s="414"/>
      <c r="G147" s="170" t="s">
        <v>12</v>
      </c>
      <c r="H147" s="58">
        <f t="shared" ref="H147:Q147" si="31">SUM(H145:H146)</f>
        <v>390726</v>
      </c>
      <c r="I147" s="59">
        <f t="shared" si="31"/>
        <v>0</v>
      </c>
      <c r="J147" s="59">
        <f t="shared" si="31"/>
        <v>0</v>
      </c>
      <c r="K147" s="60">
        <f t="shared" si="31"/>
        <v>390726</v>
      </c>
      <c r="L147" s="58">
        <f t="shared" si="31"/>
        <v>390726</v>
      </c>
      <c r="M147" s="59">
        <f t="shared" si="31"/>
        <v>0</v>
      </c>
      <c r="N147" s="59">
        <f t="shared" si="31"/>
        <v>0</v>
      </c>
      <c r="O147" s="60">
        <f t="shared" si="31"/>
        <v>390726</v>
      </c>
      <c r="P147" s="62">
        <f t="shared" si="31"/>
        <v>390726</v>
      </c>
      <c r="Q147" s="61">
        <f t="shared" si="31"/>
        <v>0</v>
      </c>
      <c r="R147" s="524"/>
      <c r="S147" s="61">
        <f>SUM(S145:S146)</f>
        <v>0</v>
      </c>
      <c r="T147" s="59">
        <f>SUM(T145:T146)</f>
        <v>0</v>
      </c>
      <c r="U147" s="60">
        <f>SUM(U145:U146)</f>
        <v>1</v>
      </c>
      <c r="V147" s="63"/>
    </row>
    <row r="148" spans="1:22" s="42" customFormat="1" ht="11.25" customHeight="1" x14ac:dyDescent="0.2">
      <c r="A148" s="454" t="s">
        <v>17</v>
      </c>
      <c r="B148" s="456" t="s">
        <v>19</v>
      </c>
      <c r="C148" s="358" t="s">
        <v>52</v>
      </c>
      <c r="D148" s="360" t="s">
        <v>78</v>
      </c>
      <c r="E148" s="362">
        <v>8</v>
      </c>
      <c r="F148" s="364" t="s">
        <v>182</v>
      </c>
      <c r="G148" s="169" t="s">
        <v>112</v>
      </c>
      <c r="H148" s="64">
        <f>SUM(I148:K148)</f>
        <v>8707</v>
      </c>
      <c r="I148" s="78"/>
      <c r="J148" s="78"/>
      <c r="K148" s="65">
        <f>ROUND(30063.66/3.4528,0)</f>
        <v>8707</v>
      </c>
      <c r="L148" s="64">
        <f>SUM(M148:O148)</f>
        <v>8707</v>
      </c>
      <c r="M148" s="44"/>
      <c r="N148" s="44"/>
      <c r="O148" s="65">
        <f>ROUND(30063.66/3.4528,0)</f>
        <v>8707</v>
      </c>
      <c r="P148" s="106"/>
      <c r="Q148" s="98"/>
      <c r="R148" s="423" t="s">
        <v>159</v>
      </c>
      <c r="S148" s="395"/>
      <c r="T148" s="391">
        <v>1</v>
      </c>
      <c r="U148" s="366"/>
      <c r="V148" s="63"/>
    </row>
    <row r="149" spans="1:22" s="42" customFormat="1" x14ac:dyDescent="0.2">
      <c r="A149" s="454"/>
      <c r="B149" s="456"/>
      <c r="C149" s="359"/>
      <c r="D149" s="361"/>
      <c r="E149" s="363"/>
      <c r="F149" s="365"/>
      <c r="G149" s="169" t="s">
        <v>55</v>
      </c>
      <c r="H149" s="64">
        <f>SUM(I149:K149)</f>
        <v>64763</v>
      </c>
      <c r="I149" s="78"/>
      <c r="J149" s="78"/>
      <c r="K149" s="65">
        <f>ROUND(223614/3.4528,0)</f>
        <v>64763</v>
      </c>
      <c r="L149" s="64"/>
      <c r="M149" s="44"/>
      <c r="N149" s="44"/>
      <c r="O149" s="65"/>
      <c r="P149" s="65">
        <f>ROUND(223614/3.4528,0)</f>
        <v>64763</v>
      </c>
      <c r="Q149" s="98"/>
      <c r="R149" s="423"/>
      <c r="S149" s="396"/>
      <c r="T149" s="381"/>
      <c r="U149" s="367"/>
      <c r="V149" s="63"/>
    </row>
    <row r="150" spans="1:22" s="42" customFormat="1" x14ac:dyDescent="0.2">
      <c r="A150" s="454"/>
      <c r="B150" s="456"/>
      <c r="C150" s="359"/>
      <c r="D150" s="361"/>
      <c r="E150" s="363"/>
      <c r="F150" s="365"/>
      <c r="G150" s="169" t="s">
        <v>29</v>
      </c>
      <c r="H150" s="64">
        <f>SUM(I150:K150)</f>
        <v>13600</v>
      </c>
      <c r="I150" s="78"/>
      <c r="J150" s="78"/>
      <c r="K150" s="65">
        <f>ROUND(46958.94/3.4528,0)</f>
        <v>13600</v>
      </c>
      <c r="L150" s="64"/>
      <c r="M150" s="44"/>
      <c r="N150" s="44"/>
      <c r="O150" s="65"/>
      <c r="P150" s="65">
        <f>ROUND(46958.94/3.4528,0)</f>
        <v>13600</v>
      </c>
      <c r="Q150" s="98"/>
      <c r="R150" s="423"/>
      <c r="S150" s="396"/>
      <c r="T150" s="381"/>
      <c r="U150" s="367"/>
      <c r="V150" s="63"/>
    </row>
    <row r="151" spans="1:22" s="42" customFormat="1" x14ac:dyDescent="0.2">
      <c r="A151" s="454"/>
      <c r="B151" s="456"/>
      <c r="C151" s="359"/>
      <c r="D151" s="361"/>
      <c r="E151" s="363"/>
      <c r="F151" s="365"/>
      <c r="G151" s="169" t="s">
        <v>258</v>
      </c>
      <c r="H151" s="64">
        <f>SUM(I151:K151)</f>
        <v>6000</v>
      </c>
      <c r="I151" s="78"/>
      <c r="J151" s="78"/>
      <c r="K151" s="65">
        <v>6000</v>
      </c>
      <c r="L151" s="64"/>
      <c r="M151" s="44"/>
      <c r="N151" s="44"/>
      <c r="O151" s="65"/>
      <c r="P151" s="106"/>
      <c r="Q151" s="105"/>
      <c r="R151" s="423"/>
      <c r="S151" s="397"/>
      <c r="T151" s="382"/>
      <c r="U151" s="368"/>
      <c r="V151" s="63"/>
    </row>
    <row r="152" spans="1:22" s="42" customFormat="1" ht="10.5" x14ac:dyDescent="0.2">
      <c r="A152" s="454"/>
      <c r="B152" s="456"/>
      <c r="C152" s="410"/>
      <c r="D152" s="473"/>
      <c r="E152" s="413"/>
      <c r="F152" s="414"/>
      <c r="G152" s="170" t="s">
        <v>12</v>
      </c>
      <c r="H152" s="58">
        <f>SUM(H148:H151)</f>
        <v>93070</v>
      </c>
      <c r="I152" s="59">
        <f>SUM(I148:I151)</f>
        <v>0</v>
      </c>
      <c r="J152" s="59">
        <f>SUM(J148:J151)</f>
        <v>0</v>
      </c>
      <c r="K152" s="60">
        <f>SUM(K148:K151)</f>
        <v>93070</v>
      </c>
      <c r="L152" s="58">
        <f>SUM(L148:L151)</f>
        <v>8707</v>
      </c>
      <c r="M152" s="59">
        <f>SUM(M148:M150)</f>
        <v>0</v>
      </c>
      <c r="N152" s="59">
        <f>SUM(N148:N150)</f>
        <v>0</v>
      </c>
      <c r="O152" s="60">
        <f>SUM(O148:O151)</f>
        <v>8707</v>
      </c>
      <c r="P152" s="62">
        <f>SUM(P148:P151)</f>
        <v>78363</v>
      </c>
      <c r="Q152" s="61">
        <f>SUM(Q148:Q151)</f>
        <v>0</v>
      </c>
      <c r="R152" s="423"/>
      <c r="S152" s="61">
        <f>SUM(S148:S150)</f>
        <v>0</v>
      </c>
      <c r="T152" s="59">
        <f>SUM(T148:T150)</f>
        <v>1</v>
      </c>
      <c r="U152" s="60">
        <f>SUM(U148:U150)</f>
        <v>0</v>
      </c>
      <c r="V152" s="63"/>
    </row>
    <row r="153" spans="1:22" s="42" customFormat="1" ht="19.5" customHeight="1" x14ac:dyDescent="0.2">
      <c r="A153" s="454" t="s">
        <v>17</v>
      </c>
      <c r="B153" s="456" t="s">
        <v>19</v>
      </c>
      <c r="C153" s="358" t="s">
        <v>53</v>
      </c>
      <c r="D153" s="360" t="s">
        <v>235</v>
      </c>
      <c r="E153" s="464">
        <v>8</v>
      </c>
      <c r="F153" s="398" t="s">
        <v>182</v>
      </c>
      <c r="G153" s="169" t="s">
        <v>112</v>
      </c>
      <c r="H153" s="64">
        <f>SUM(I153:K153)</f>
        <v>14481</v>
      </c>
      <c r="I153" s="78"/>
      <c r="J153" s="78"/>
      <c r="K153" s="79">
        <f>ROUND(50000/3.4528,0)</f>
        <v>14481</v>
      </c>
      <c r="L153" s="64">
        <f>SUM(M153:O153)</f>
        <v>14481</v>
      </c>
      <c r="M153" s="44"/>
      <c r="N153" s="44"/>
      <c r="O153" s="79">
        <f>ROUND(50000/3.4528,0)</f>
        <v>14481</v>
      </c>
      <c r="P153" s="80">
        <f>ROUND(87978.35/3.4528,0)</f>
        <v>25480</v>
      </c>
      <c r="Q153" s="258"/>
      <c r="R153" s="423" t="s">
        <v>159</v>
      </c>
      <c r="S153" s="395"/>
      <c r="T153" s="391">
        <v>1</v>
      </c>
      <c r="U153" s="366"/>
      <c r="V153" s="63"/>
    </row>
    <row r="154" spans="1:22" s="42" customFormat="1" ht="19.5" customHeight="1" x14ac:dyDescent="0.2">
      <c r="A154" s="454"/>
      <c r="B154" s="456"/>
      <c r="C154" s="359"/>
      <c r="D154" s="361"/>
      <c r="E154" s="464"/>
      <c r="F154" s="398"/>
      <c r="G154" s="169" t="s">
        <v>55</v>
      </c>
      <c r="H154" s="64">
        <f>SUM(I154:K154)</f>
        <v>0</v>
      </c>
      <c r="I154" s="78"/>
      <c r="J154" s="78"/>
      <c r="K154" s="79">
        <v>0</v>
      </c>
      <c r="L154" s="64"/>
      <c r="M154" s="44"/>
      <c r="N154" s="44"/>
      <c r="O154" s="79">
        <v>0</v>
      </c>
      <c r="P154" s="80">
        <f>ROUND(997088/3.4528,0)</f>
        <v>288777</v>
      </c>
      <c r="Q154" s="108"/>
      <c r="R154" s="423"/>
      <c r="S154" s="396"/>
      <c r="T154" s="381"/>
      <c r="U154" s="367"/>
      <c r="V154" s="63"/>
    </row>
    <row r="155" spans="1:22" s="42" customFormat="1" ht="19.5" customHeight="1" x14ac:dyDescent="0.2">
      <c r="A155" s="454"/>
      <c r="B155" s="456"/>
      <c r="C155" s="359"/>
      <c r="D155" s="361"/>
      <c r="E155" s="464"/>
      <c r="F155" s="398"/>
      <c r="G155" s="169" t="s">
        <v>29</v>
      </c>
      <c r="H155" s="64">
        <f>SUM(I155:K155)</f>
        <v>0</v>
      </c>
      <c r="I155" s="78"/>
      <c r="J155" s="78"/>
      <c r="K155" s="79">
        <v>0</v>
      </c>
      <c r="L155" s="64"/>
      <c r="M155" s="44"/>
      <c r="N155" s="44"/>
      <c r="O155" s="79">
        <v>0</v>
      </c>
      <c r="P155" s="80">
        <f>ROUND(87978.35/3.4528,0)</f>
        <v>25480</v>
      </c>
      <c r="Q155" s="108"/>
      <c r="R155" s="423"/>
      <c r="S155" s="397"/>
      <c r="T155" s="382"/>
      <c r="U155" s="368"/>
      <c r="V155" s="63"/>
    </row>
    <row r="156" spans="1:22" s="42" customFormat="1" ht="16.5" customHeight="1" x14ac:dyDescent="0.2">
      <c r="A156" s="454"/>
      <c r="B156" s="456"/>
      <c r="C156" s="410"/>
      <c r="D156" s="473"/>
      <c r="E156" s="464"/>
      <c r="F156" s="399"/>
      <c r="G156" s="170" t="s">
        <v>12</v>
      </c>
      <c r="H156" s="58">
        <f t="shared" ref="H156:O156" si="32">SUM(H153:H155)</f>
        <v>14481</v>
      </c>
      <c r="I156" s="59">
        <f t="shared" si="32"/>
        <v>0</v>
      </c>
      <c r="J156" s="59">
        <f t="shared" si="32"/>
        <v>0</v>
      </c>
      <c r="K156" s="60">
        <f t="shared" si="32"/>
        <v>14481</v>
      </c>
      <c r="L156" s="58">
        <f t="shared" si="32"/>
        <v>14481</v>
      </c>
      <c r="M156" s="59">
        <f t="shared" si="32"/>
        <v>0</v>
      </c>
      <c r="N156" s="59">
        <f t="shared" si="32"/>
        <v>0</v>
      </c>
      <c r="O156" s="60">
        <f t="shared" si="32"/>
        <v>14481</v>
      </c>
      <c r="P156" s="62">
        <f>SUM(P153:P155)</f>
        <v>339737</v>
      </c>
      <c r="Q156" s="61">
        <f>SUM(Q153:Q155)</f>
        <v>0</v>
      </c>
      <c r="R156" s="423"/>
      <c r="S156" s="61">
        <f>SUM(S153:S155)</f>
        <v>0</v>
      </c>
      <c r="T156" s="59">
        <f>SUM(T153:T155)</f>
        <v>1</v>
      </c>
      <c r="U156" s="60">
        <f>SUM(U153:U155)</f>
        <v>0</v>
      </c>
      <c r="V156" s="63"/>
    </row>
    <row r="157" spans="1:22" s="42" customFormat="1" ht="11.25" customHeight="1" x14ac:dyDescent="0.2">
      <c r="A157" s="454" t="s">
        <v>17</v>
      </c>
      <c r="B157" s="456" t="s">
        <v>19</v>
      </c>
      <c r="C157" s="358" t="s">
        <v>58</v>
      </c>
      <c r="D157" s="360" t="s">
        <v>80</v>
      </c>
      <c r="E157" s="362">
        <v>8</v>
      </c>
      <c r="F157" s="364" t="s">
        <v>182</v>
      </c>
      <c r="G157" s="169" t="s">
        <v>112</v>
      </c>
      <c r="H157" s="64">
        <f>SUM(I157:K157)</f>
        <v>4344</v>
      </c>
      <c r="I157" s="78"/>
      <c r="J157" s="78"/>
      <c r="K157" s="79">
        <f>ROUND(15000/3.4528,0)</f>
        <v>4344</v>
      </c>
      <c r="L157" s="64">
        <f>SUM(M157:O157)</f>
        <v>4344</v>
      </c>
      <c r="M157" s="44"/>
      <c r="N157" s="44"/>
      <c r="O157" s="65">
        <f>ROUND(15000/3.4528,0)</f>
        <v>4344</v>
      </c>
      <c r="P157" s="80">
        <f>ROUND(242000/3.4528,0)</f>
        <v>70088</v>
      </c>
      <c r="Q157" s="258">
        <f>ROUND(188000/3.4528,0)</f>
        <v>54449</v>
      </c>
      <c r="R157" s="418" t="s">
        <v>159</v>
      </c>
      <c r="S157" s="499"/>
      <c r="T157" s="500"/>
      <c r="U157" s="394">
        <v>1</v>
      </c>
      <c r="V157" s="63"/>
    </row>
    <row r="158" spans="1:22" s="42" customFormat="1" ht="11.25" customHeight="1" x14ac:dyDescent="0.2">
      <c r="A158" s="454"/>
      <c r="B158" s="456"/>
      <c r="C158" s="359"/>
      <c r="D158" s="361"/>
      <c r="E158" s="363"/>
      <c r="F158" s="365"/>
      <c r="G158" s="169" t="s">
        <v>55</v>
      </c>
      <c r="H158" s="64">
        <f>SUM(I158:K158)</f>
        <v>0</v>
      </c>
      <c r="I158" s="78"/>
      <c r="J158" s="78"/>
      <c r="K158" s="81"/>
      <c r="L158" s="64">
        <f>SUM(M158:O158)</f>
        <v>0</v>
      </c>
      <c r="M158" s="44"/>
      <c r="N158" s="44"/>
      <c r="O158" s="65">
        <v>0</v>
      </c>
      <c r="P158" s="80">
        <f>ROUND(2145000/3.4528,0)</f>
        <v>621235</v>
      </c>
      <c r="Q158" s="258">
        <f>ROUND(2333000/3.4528,0)</f>
        <v>675684</v>
      </c>
      <c r="R158" s="418"/>
      <c r="S158" s="499"/>
      <c r="T158" s="500"/>
      <c r="U158" s="394"/>
      <c r="V158" s="63"/>
    </row>
    <row r="159" spans="1:22" s="42" customFormat="1" ht="12.75" customHeight="1" x14ac:dyDescent="0.2">
      <c r="A159" s="454"/>
      <c r="B159" s="456"/>
      <c r="C159" s="410"/>
      <c r="D159" s="473"/>
      <c r="E159" s="413"/>
      <c r="F159" s="414"/>
      <c r="G159" s="170" t="s">
        <v>12</v>
      </c>
      <c r="H159" s="58">
        <f t="shared" ref="H159:O159" si="33">SUM(H157:H158)</f>
        <v>4344</v>
      </c>
      <c r="I159" s="59">
        <f t="shared" si="33"/>
        <v>0</v>
      </c>
      <c r="J159" s="59">
        <f t="shared" si="33"/>
        <v>0</v>
      </c>
      <c r="K159" s="60">
        <f t="shared" si="33"/>
        <v>4344</v>
      </c>
      <c r="L159" s="58">
        <f t="shared" si="33"/>
        <v>4344</v>
      </c>
      <c r="M159" s="59">
        <f t="shared" si="33"/>
        <v>0</v>
      </c>
      <c r="N159" s="59">
        <f t="shared" si="33"/>
        <v>0</v>
      </c>
      <c r="O159" s="60">
        <f t="shared" si="33"/>
        <v>4344</v>
      </c>
      <c r="P159" s="62">
        <f>SUM(P157:P158)</f>
        <v>691323</v>
      </c>
      <c r="Q159" s="61">
        <f>SUM(Q157:Q158)</f>
        <v>730133</v>
      </c>
      <c r="R159" s="418"/>
      <c r="S159" s="61">
        <f>SUM(S157:S158)</f>
        <v>0</v>
      </c>
      <c r="T159" s="59">
        <f>SUM(T157:T158)</f>
        <v>0</v>
      </c>
      <c r="U159" s="60">
        <f>SUM(U157:U158)</f>
        <v>1</v>
      </c>
      <c r="V159" s="63"/>
    </row>
    <row r="160" spans="1:22" s="42" customFormat="1" ht="24" hidden="1" customHeight="1" outlineLevel="1" x14ac:dyDescent="0.2">
      <c r="A160" s="599"/>
      <c r="B160" s="590"/>
      <c r="C160" s="590"/>
      <c r="D160" s="142" t="s">
        <v>344</v>
      </c>
      <c r="E160" s="593"/>
      <c r="F160" s="605"/>
      <c r="G160" s="190" t="s">
        <v>112</v>
      </c>
      <c r="H160" s="186">
        <f>SUM(I160:K160)</f>
        <v>4344</v>
      </c>
      <c r="I160" s="178"/>
      <c r="J160" s="178"/>
      <c r="K160" s="191">
        <f>K157</f>
        <v>4344</v>
      </c>
      <c r="L160" s="186">
        <f>SUM(M160:O160)</f>
        <v>4344</v>
      </c>
      <c r="M160" s="178"/>
      <c r="N160" s="178"/>
      <c r="O160" s="191">
        <f>O157</f>
        <v>4344</v>
      </c>
      <c r="P160" s="247"/>
      <c r="Q160" s="257"/>
      <c r="R160" s="262"/>
      <c r="S160" s="260"/>
      <c r="T160" s="249"/>
      <c r="U160" s="250"/>
      <c r="V160" s="63"/>
    </row>
    <row r="161" spans="1:22" s="42" customFormat="1" ht="12.75" hidden="1" customHeight="1" outlineLevel="1" x14ac:dyDescent="0.2">
      <c r="A161" s="600"/>
      <c r="B161" s="591"/>
      <c r="C161" s="591"/>
      <c r="D161" s="532" t="s">
        <v>341</v>
      </c>
      <c r="E161" s="594"/>
      <c r="F161" s="606"/>
      <c r="G161" s="190" t="s">
        <v>112</v>
      </c>
      <c r="H161" s="186">
        <f>SUM(I161:K161)</f>
        <v>0</v>
      </c>
      <c r="I161" s="178"/>
      <c r="J161" s="178"/>
      <c r="K161" s="191">
        <f>K157-K160</f>
        <v>0</v>
      </c>
      <c r="L161" s="186">
        <f>SUM(M161:O161)</f>
        <v>0</v>
      </c>
      <c r="M161" s="178"/>
      <c r="N161" s="178"/>
      <c r="O161" s="191">
        <f>O157-O160</f>
        <v>0</v>
      </c>
      <c r="P161" s="247">
        <f>P157</f>
        <v>70088</v>
      </c>
      <c r="Q161" s="257">
        <f>Q157</f>
        <v>54449</v>
      </c>
      <c r="R161" s="262"/>
      <c r="S161" s="260"/>
      <c r="T161" s="249"/>
      <c r="U161" s="250"/>
      <c r="V161" s="63"/>
    </row>
    <row r="162" spans="1:22" s="42" customFormat="1" ht="12.75" hidden="1" customHeight="1" outlineLevel="1" x14ac:dyDescent="0.2">
      <c r="A162" s="601"/>
      <c r="B162" s="592"/>
      <c r="C162" s="592"/>
      <c r="D162" s="533"/>
      <c r="E162" s="595"/>
      <c r="F162" s="607"/>
      <c r="G162" s="190" t="s">
        <v>55</v>
      </c>
      <c r="H162" s="186">
        <f t="shared" ref="H162:O162" si="34">H158</f>
        <v>0</v>
      </c>
      <c r="I162" s="178">
        <f t="shared" si="34"/>
        <v>0</v>
      </c>
      <c r="J162" s="178">
        <f t="shared" si="34"/>
        <v>0</v>
      </c>
      <c r="K162" s="191">
        <f t="shared" si="34"/>
        <v>0</v>
      </c>
      <c r="L162" s="186">
        <f t="shared" si="34"/>
        <v>0</v>
      </c>
      <c r="M162" s="178">
        <f t="shared" si="34"/>
        <v>0</v>
      </c>
      <c r="N162" s="178">
        <f t="shared" si="34"/>
        <v>0</v>
      </c>
      <c r="O162" s="191">
        <f t="shared" si="34"/>
        <v>0</v>
      </c>
      <c r="P162" s="247">
        <f>P158</f>
        <v>621235</v>
      </c>
      <c r="Q162" s="257">
        <f>Q158</f>
        <v>675684</v>
      </c>
      <c r="R162" s="262"/>
      <c r="S162" s="260"/>
      <c r="T162" s="249"/>
      <c r="U162" s="250"/>
      <c r="V162" s="63"/>
    </row>
    <row r="163" spans="1:22" s="42" customFormat="1" ht="11.25" customHeight="1" collapsed="1" x14ac:dyDescent="0.2">
      <c r="A163" s="454" t="s">
        <v>17</v>
      </c>
      <c r="B163" s="456" t="s">
        <v>19</v>
      </c>
      <c r="C163" s="348">
        <v>10</v>
      </c>
      <c r="D163" s="360" t="s">
        <v>81</v>
      </c>
      <c r="E163" s="362">
        <v>6</v>
      </c>
      <c r="F163" s="364" t="s">
        <v>182</v>
      </c>
      <c r="G163" s="169" t="s">
        <v>112</v>
      </c>
      <c r="H163" s="64">
        <f>SUM(I163:K163)</f>
        <v>69798</v>
      </c>
      <c r="I163" s="78"/>
      <c r="J163" s="78"/>
      <c r="K163" s="99">
        <f>ROUND(241000/3.4528,0)</f>
        <v>69798</v>
      </c>
      <c r="L163" s="64">
        <f>SUM(M163:O163)</f>
        <v>69798</v>
      </c>
      <c r="M163" s="44"/>
      <c r="N163" s="44"/>
      <c r="O163" s="99">
        <f>ROUND(241000/3.4528,0)</f>
        <v>69798</v>
      </c>
      <c r="P163" s="70">
        <f>ROUND(80000/3.4528,0)</f>
        <v>23170</v>
      </c>
      <c r="Q163" s="66"/>
      <c r="R163" s="418" t="s">
        <v>159</v>
      </c>
      <c r="S163" s="499"/>
      <c r="T163" s="500">
        <v>1</v>
      </c>
      <c r="U163" s="394"/>
      <c r="V163" s="63"/>
    </row>
    <row r="164" spans="1:22" s="42" customFormat="1" ht="11.25" customHeight="1" x14ac:dyDescent="0.2">
      <c r="A164" s="454"/>
      <c r="B164" s="456"/>
      <c r="C164" s="349"/>
      <c r="D164" s="361"/>
      <c r="E164" s="363"/>
      <c r="F164" s="365"/>
      <c r="G164" s="169" t="s">
        <v>55</v>
      </c>
      <c r="H164" s="64">
        <f>SUM(I164:K164)</f>
        <v>524791</v>
      </c>
      <c r="I164" s="78"/>
      <c r="J164" s="78"/>
      <c r="K164" s="108">
        <f>ROUND(1812000/3.4528,0)</f>
        <v>524791</v>
      </c>
      <c r="L164" s="64">
        <f>SUM(M164:O164)</f>
        <v>524791</v>
      </c>
      <c r="M164" s="44"/>
      <c r="N164" s="44"/>
      <c r="O164" s="108">
        <f>ROUND(1812000/3.4528,0)</f>
        <v>524791</v>
      </c>
      <c r="P164" s="80">
        <f>ROUND(916000/3.4528,0)</f>
        <v>265292</v>
      </c>
      <c r="Q164" s="258"/>
      <c r="R164" s="418"/>
      <c r="S164" s="499"/>
      <c r="T164" s="500"/>
      <c r="U164" s="394"/>
      <c r="V164" s="63"/>
    </row>
    <row r="165" spans="1:22" s="42" customFormat="1" ht="11.25" customHeight="1" x14ac:dyDescent="0.2">
      <c r="A165" s="454"/>
      <c r="B165" s="456"/>
      <c r="C165" s="349"/>
      <c r="D165" s="361"/>
      <c r="E165" s="363"/>
      <c r="F165" s="365"/>
      <c r="G165" s="169" t="s">
        <v>29</v>
      </c>
      <c r="H165" s="64">
        <f>SUM(I165:K165)</f>
        <v>160000</v>
      </c>
      <c r="I165" s="78"/>
      <c r="J165" s="78"/>
      <c r="K165" s="108">
        <v>160000</v>
      </c>
      <c r="L165" s="64">
        <f>SUM(M165:O165)</f>
        <v>160000</v>
      </c>
      <c r="M165" s="44"/>
      <c r="N165" s="44"/>
      <c r="O165" s="108">
        <v>160000</v>
      </c>
      <c r="P165" s="80">
        <f>ROUND(80000/3.4528,0)</f>
        <v>23170</v>
      </c>
      <c r="Q165" s="258"/>
      <c r="R165" s="418"/>
      <c r="S165" s="499"/>
      <c r="T165" s="500"/>
      <c r="U165" s="394"/>
      <c r="V165" s="63"/>
    </row>
    <row r="166" spans="1:22" s="42" customFormat="1" ht="11.25" customHeight="1" x14ac:dyDescent="0.2">
      <c r="A166" s="454"/>
      <c r="B166" s="456"/>
      <c r="C166" s="350"/>
      <c r="D166" s="473"/>
      <c r="E166" s="413"/>
      <c r="F166" s="414"/>
      <c r="G166" s="170" t="s">
        <v>12</v>
      </c>
      <c r="H166" s="58">
        <f t="shared" ref="H166:O166" si="35">SUM(H163:H165)</f>
        <v>754589</v>
      </c>
      <c r="I166" s="59">
        <f t="shared" si="35"/>
        <v>0</v>
      </c>
      <c r="J166" s="59">
        <f t="shared" si="35"/>
        <v>0</v>
      </c>
      <c r="K166" s="60">
        <f t="shared" si="35"/>
        <v>754589</v>
      </c>
      <c r="L166" s="58">
        <f t="shared" si="35"/>
        <v>754589</v>
      </c>
      <c r="M166" s="59">
        <f t="shared" si="35"/>
        <v>0</v>
      </c>
      <c r="N166" s="59">
        <f t="shared" si="35"/>
        <v>0</v>
      </c>
      <c r="O166" s="60">
        <f t="shared" si="35"/>
        <v>754589</v>
      </c>
      <c r="P166" s="62">
        <f>SUM(P163:P165)</f>
        <v>311632</v>
      </c>
      <c r="Q166" s="61">
        <f>SUM(Q163:Q165)</f>
        <v>0</v>
      </c>
      <c r="R166" s="418"/>
      <c r="S166" s="61">
        <f>SUM(S163:S165)</f>
        <v>0</v>
      </c>
      <c r="T166" s="59">
        <f>SUM(T163:T165)</f>
        <v>1</v>
      </c>
      <c r="U166" s="60">
        <f>SUM(U163:U165)</f>
        <v>0</v>
      </c>
      <c r="V166" s="63"/>
    </row>
    <row r="167" spans="1:22" s="42" customFormat="1" ht="11.25" customHeight="1" x14ac:dyDescent="0.2">
      <c r="A167" s="454" t="s">
        <v>17</v>
      </c>
      <c r="B167" s="456" t="s">
        <v>19</v>
      </c>
      <c r="C167" s="358">
        <v>11</v>
      </c>
      <c r="D167" s="504" t="s">
        <v>115</v>
      </c>
      <c r="E167" s="362">
        <v>5</v>
      </c>
      <c r="F167" s="364" t="s">
        <v>182</v>
      </c>
      <c r="G167" s="169" t="s">
        <v>112</v>
      </c>
      <c r="H167" s="64">
        <f>SUM(I167+K167)</f>
        <v>593086</v>
      </c>
      <c r="I167" s="78"/>
      <c r="J167" s="78"/>
      <c r="K167" s="79">
        <f>ROUND(2047808.84/3.4528,0)</f>
        <v>593086</v>
      </c>
      <c r="L167" s="64">
        <f>SUM(M167+O167)</f>
        <v>102486</v>
      </c>
      <c r="M167" s="44"/>
      <c r="N167" s="44"/>
      <c r="O167" s="65">
        <f>ROUND(353862.08/3.4528,0)</f>
        <v>102486</v>
      </c>
      <c r="P167" s="106"/>
      <c r="Q167" s="98"/>
      <c r="R167" s="418" t="s">
        <v>159</v>
      </c>
      <c r="S167" s="499"/>
      <c r="T167" s="500"/>
      <c r="U167" s="394"/>
      <c r="V167" s="63"/>
    </row>
    <row r="168" spans="1:22" s="42" customFormat="1" ht="11.25" customHeight="1" x14ac:dyDescent="0.2">
      <c r="A168" s="454"/>
      <c r="B168" s="456"/>
      <c r="C168" s="359"/>
      <c r="D168" s="505"/>
      <c r="E168" s="363"/>
      <c r="F168" s="365"/>
      <c r="G168" s="169" t="s">
        <v>102</v>
      </c>
      <c r="H168" s="64">
        <f>SUM(I168+K168)</f>
        <v>12164</v>
      </c>
      <c r="I168" s="44"/>
      <c r="J168" s="44"/>
      <c r="K168" s="65">
        <v>12164</v>
      </c>
      <c r="L168" s="64">
        <f>SUM(M168+O168)</f>
        <v>12164</v>
      </c>
      <c r="M168" s="44"/>
      <c r="N168" s="44"/>
      <c r="O168" s="65">
        <v>12164</v>
      </c>
      <c r="P168" s="136"/>
      <c r="Q168" s="269"/>
      <c r="R168" s="418"/>
      <c r="S168" s="499"/>
      <c r="T168" s="500"/>
      <c r="U168" s="394"/>
      <c r="V168" s="63"/>
    </row>
    <row r="169" spans="1:22" s="42" customFormat="1" ht="11.25" customHeight="1" x14ac:dyDescent="0.2">
      <c r="A169" s="454"/>
      <c r="B169" s="456"/>
      <c r="C169" s="359"/>
      <c r="D169" s="505"/>
      <c r="E169" s="363"/>
      <c r="F169" s="365"/>
      <c r="G169" s="169" t="s">
        <v>55</v>
      </c>
      <c r="H169" s="64">
        <f>SUM(I169+K169)</f>
        <v>0</v>
      </c>
      <c r="I169" s="78"/>
      <c r="J169" s="78"/>
      <c r="K169" s="79">
        <v>0</v>
      </c>
      <c r="L169" s="64">
        <f>SUM(M169+O169)</f>
        <v>0</v>
      </c>
      <c r="M169" s="44"/>
      <c r="N169" s="44"/>
      <c r="O169" s="65">
        <v>0</v>
      </c>
      <c r="P169" s="106"/>
      <c r="Q169" s="98"/>
      <c r="R169" s="418"/>
      <c r="S169" s="499"/>
      <c r="T169" s="500"/>
      <c r="U169" s="394"/>
      <c r="V169" s="63"/>
    </row>
    <row r="170" spans="1:22" s="42" customFormat="1" ht="33" customHeight="1" x14ac:dyDescent="0.2">
      <c r="A170" s="454"/>
      <c r="B170" s="456"/>
      <c r="C170" s="410"/>
      <c r="D170" s="506"/>
      <c r="E170" s="413"/>
      <c r="F170" s="414"/>
      <c r="G170" s="170" t="s">
        <v>12</v>
      </c>
      <c r="H170" s="58">
        <f t="shared" ref="H170:Q170" si="36">SUM(H167:H169)</f>
        <v>605250</v>
      </c>
      <c r="I170" s="59">
        <f t="shared" si="36"/>
        <v>0</v>
      </c>
      <c r="J170" s="59">
        <f t="shared" si="36"/>
        <v>0</v>
      </c>
      <c r="K170" s="60">
        <f t="shared" si="36"/>
        <v>605250</v>
      </c>
      <c r="L170" s="58">
        <f t="shared" si="36"/>
        <v>114650</v>
      </c>
      <c r="M170" s="59">
        <f t="shared" si="36"/>
        <v>0</v>
      </c>
      <c r="N170" s="59">
        <f t="shared" si="36"/>
        <v>0</v>
      </c>
      <c r="O170" s="60">
        <f t="shared" si="36"/>
        <v>114650</v>
      </c>
      <c r="P170" s="62">
        <f>SUM(P167:P169)</f>
        <v>0</v>
      </c>
      <c r="Q170" s="61">
        <f t="shared" si="36"/>
        <v>0</v>
      </c>
      <c r="R170" s="418"/>
      <c r="S170" s="61">
        <f>SUM(S167:S169)</f>
        <v>0</v>
      </c>
      <c r="T170" s="59">
        <f>SUM(T167:T169)</f>
        <v>0</v>
      </c>
      <c r="U170" s="60">
        <f>SUM(U167:U169)</f>
        <v>0</v>
      </c>
      <c r="V170" s="63"/>
    </row>
    <row r="171" spans="1:22" s="42" customFormat="1" ht="15" customHeight="1" x14ac:dyDescent="0.2">
      <c r="A171" s="454" t="s">
        <v>17</v>
      </c>
      <c r="B171" s="456" t="s">
        <v>19</v>
      </c>
      <c r="C171" s="358">
        <v>12</v>
      </c>
      <c r="D171" s="360" t="s">
        <v>233</v>
      </c>
      <c r="E171" s="501">
        <v>4</v>
      </c>
      <c r="F171" s="502" t="s">
        <v>182</v>
      </c>
      <c r="G171" s="169" t="s">
        <v>112</v>
      </c>
      <c r="H171" s="64">
        <f>SUM(I171:K171)</f>
        <v>43443</v>
      </c>
      <c r="I171" s="72"/>
      <c r="J171" s="72"/>
      <c r="K171" s="65">
        <v>43443</v>
      </c>
      <c r="L171" s="64">
        <f>SUM(M171:O171)</f>
        <v>43443</v>
      </c>
      <c r="M171" s="44"/>
      <c r="N171" s="44"/>
      <c r="O171" s="65">
        <v>43443</v>
      </c>
      <c r="P171" s="75"/>
      <c r="Q171" s="74"/>
      <c r="R171" s="418" t="s">
        <v>159</v>
      </c>
      <c r="S171" s="285"/>
      <c r="T171" s="107"/>
      <c r="U171" s="148"/>
      <c r="V171" s="63"/>
    </row>
    <row r="172" spans="1:22" s="42" customFormat="1" ht="62.25" customHeight="1" x14ac:dyDescent="0.2">
      <c r="A172" s="454"/>
      <c r="B172" s="456"/>
      <c r="C172" s="410"/>
      <c r="D172" s="473"/>
      <c r="E172" s="474"/>
      <c r="F172" s="503"/>
      <c r="G172" s="171" t="s">
        <v>12</v>
      </c>
      <c r="H172" s="109">
        <f t="shared" ref="H172:Q172" si="37">SUM(H171:H171)</f>
        <v>43443</v>
      </c>
      <c r="I172" s="110">
        <f t="shared" si="37"/>
        <v>0</v>
      </c>
      <c r="J172" s="110">
        <f t="shared" si="37"/>
        <v>0</v>
      </c>
      <c r="K172" s="111">
        <f t="shared" si="37"/>
        <v>43443</v>
      </c>
      <c r="L172" s="109">
        <f t="shared" si="37"/>
        <v>43443</v>
      </c>
      <c r="M172" s="110">
        <f t="shared" si="37"/>
        <v>0</v>
      </c>
      <c r="N172" s="110">
        <f t="shared" si="37"/>
        <v>0</v>
      </c>
      <c r="O172" s="111">
        <f t="shared" si="37"/>
        <v>43443</v>
      </c>
      <c r="P172" s="270">
        <f>SUM(P171:P171)</f>
        <v>0</v>
      </c>
      <c r="Q172" s="112">
        <f t="shared" si="37"/>
        <v>0</v>
      </c>
      <c r="R172" s="418"/>
      <c r="S172" s="61">
        <f>SUM(S171:S171)</f>
        <v>0</v>
      </c>
      <c r="T172" s="59">
        <f>SUM(T171:T171)</f>
        <v>0</v>
      </c>
      <c r="U172" s="60">
        <f>SUM(U171:U171)</f>
        <v>0</v>
      </c>
      <c r="V172" s="63"/>
    </row>
    <row r="173" spans="1:22" s="42" customFormat="1" ht="14.25" customHeight="1" x14ac:dyDescent="0.2">
      <c r="A173" s="454">
        <v>1</v>
      </c>
      <c r="B173" s="456">
        <v>3</v>
      </c>
      <c r="C173" s="358">
        <v>13</v>
      </c>
      <c r="D173" s="360" t="s">
        <v>234</v>
      </c>
      <c r="E173" s="501">
        <v>8</v>
      </c>
      <c r="F173" s="502" t="s">
        <v>182</v>
      </c>
      <c r="G173" s="169" t="s">
        <v>112</v>
      </c>
      <c r="H173" s="64">
        <f>SUM(I173:K173)</f>
        <v>5000</v>
      </c>
      <c r="I173" s="72"/>
      <c r="J173" s="72"/>
      <c r="K173" s="65">
        <v>5000</v>
      </c>
      <c r="L173" s="64">
        <f>SUM(M173:O173)</f>
        <v>5000</v>
      </c>
      <c r="M173" s="44"/>
      <c r="N173" s="44"/>
      <c r="O173" s="65">
        <v>5000</v>
      </c>
      <c r="P173" s="70">
        <f>ROUND(12605/3.4528,0)</f>
        <v>3651</v>
      </c>
      <c r="Q173" s="66"/>
      <c r="R173" s="418" t="s">
        <v>159</v>
      </c>
      <c r="S173" s="499"/>
      <c r="T173" s="500">
        <v>1</v>
      </c>
      <c r="U173" s="394"/>
      <c r="V173" s="63"/>
    </row>
    <row r="174" spans="1:22" s="42" customFormat="1" ht="14.25" customHeight="1" x14ac:dyDescent="0.2">
      <c r="A174" s="454"/>
      <c r="B174" s="456"/>
      <c r="C174" s="359"/>
      <c r="D174" s="361"/>
      <c r="E174" s="582"/>
      <c r="F174" s="583"/>
      <c r="G174" s="169" t="s">
        <v>55</v>
      </c>
      <c r="H174" s="64">
        <f>SUM(I174:K174)</f>
        <v>0</v>
      </c>
      <c r="I174" s="72"/>
      <c r="J174" s="72"/>
      <c r="K174" s="65"/>
      <c r="L174" s="64">
        <f>SUM(M174:O174)</f>
        <v>0</v>
      </c>
      <c r="M174" s="44"/>
      <c r="N174" s="44"/>
      <c r="O174" s="65"/>
      <c r="P174" s="70">
        <f>ROUND(142857/3.4528,0)</f>
        <v>41374</v>
      </c>
      <c r="Q174" s="66"/>
      <c r="R174" s="418"/>
      <c r="S174" s="499"/>
      <c r="T174" s="500"/>
      <c r="U174" s="394"/>
      <c r="V174" s="63"/>
    </row>
    <row r="175" spans="1:22" s="42" customFormat="1" ht="14.25" customHeight="1" x14ac:dyDescent="0.2">
      <c r="A175" s="454"/>
      <c r="B175" s="456"/>
      <c r="C175" s="359"/>
      <c r="D175" s="361"/>
      <c r="E175" s="582"/>
      <c r="F175" s="583"/>
      <c r="G175" s="169" t="s">
        <v>29</v>
      </c>
      <c r="H175" s="64">
        <f>SUM(I175:K175)</f>
        <v>0</v>
      </c>
      <c r="I175" s="72"/>
      <c r="J175" s="72"/>
      <c r="K175" s="65"/>
      <c r="L175" s="64">
        <f>SUM(M175:O175)</f>
        <v>0</v>
      </c>
      <c r="M175" s="44"/>
      <c r="N175" s="44"/>
      <c r="O175" s="65"/>
      <c r="P175" s="70">
        <f>ROUND(12605/3.4528,0)</f>
        <v>3651</v>
      </c>
      <c r="Q175" s="66"/>
      <c r="R175" s="418"/>
      <c r="S175" s="499"/>
      <c r="T175" s="500"/>
      <c r="U175" s="394"/>
      <c r="V175" s="63"/>
    </row>
    <row r="176" spans="1:22" s="42" customFormat="1" ht="14.25" customHeight="1" x14ac:dyDescent="0.2">
      <c r="A176" s="454"/>
      <c r="B176" s="456"/>
      <c r="C176" s="410"/>
      <c r="D176" s="473"/>
      <c r="E176" s="474"/>
      <c r="F176" s="503"/>
      <c r="G176" s="171" t="s">
        <v>12</v>
      </c>
      <c r="H176" s="109">
        <f t="shared" ref="H176:Q176" si="38">SUM(H173:H175)</f>
        <v>5000</v>
      </c>
      <c r="I176" s="110">
        <f t="shared" si="38"/>
        <v>0</v>
      </c>
      <c r="J176" s="110">
        <f t="shared" si="38"/>
        <v>0</v>
      </c>
      <c r="K176" s="111">
        <f t="shared" si="38"/>
        <v>5000</v>
      </c>
      <c r="L176" s="109">
        <f t="shared" si="38"/>
        <v>5000</v>
      </c>
      <c r="M176" s="110">
        <f t="shared" si="38"/>
        <v>0</v>
      </c>
      <c r="N176" s="110">
        <f t="shared" si="38"/>
        <v>0</v>
      </c>
      <c r="O176" s="111">
        <f t="shared" si="38"/>
        <v>5000</v>
      </c>
      <c r="P176" s="270">
        <f t="shared" si="38"/>
        <v>48676</v>
      </c>
      <c r="Q176" s="112">
        <f t="shared" si="38"/>
        <v>0</v>
      </c>
      <c r="R176" s="418"/>
      <c r="S176" s="61"/>
      <c r="T176" s="59"/>
      <c r="U176" s="60"/>
      <c r="V176" s="63"/>
    </row>
    <row r="177" spans="1:22" s="42" customFormat="1" ht="14.25" customHeight="1" x14ac:dyDescent="0.2">
      <c r="A177" s="354" t="s">
        <v>17</v>
      </c>
      <c r="B177" s="356" t="s">
        <v>19</v>
      </c>
      <c r="C177" s="358">
        <v>14</v>
      </c>
      <c r="D177" s="360" t="s">
        <v>256</v>
      </c>
      <c r="E177" s="501">
        <v>6</v>
      </c>
      <c r="F177" s="502" t="s">
        <v>182</v>
      </c>
      <c r="G177" s="169" t="s">
        <v>112</v>
      </c>
      <c r="H177" s="64">
        <f>SUM(I177:K177)</f>
        <v>15000</v>
      </c>
      <c r="I177" s="72"/>
      <c r="J177" s="72"/>
      <c r="K177" s="65">
        <v>15000</v>
      </c>
      <c r="L177" s="64">
        <f>SUM(M177:O177)</f>
        <v>15000</v>
      </c>
      <c r="M177" s="44"/>
      <c r="N177" s="44"/>
      <c r="O177" s="65">
        <v>15000</v>
      </c>
      <c r="P177" s="70">
        <v>67770</v>
      </c>
      <c r="Q177" s="99">
        <v>67770</v>
      </c>
      <c r="R177" s="418" t="s">
        <v>159</v>
      </c>
      <c r="S177" s="507"/>
      <c r="T177" s="348"/>
      <c r="U177" s="376">
        <v>3</v>
      </c>
      <c r="V177" s="63"/>
    </row>
    <row r="178" spans="1:22" s="42" customFormat="1" ht="14.25" customHeight="1" x14ac:dyDescent="0.2">
      <c r="A178" s="355"/>
      <c r="B178" s="357"/>
      <c r="C178" s="359"/>
      <c r="D178" s="361"/>
      <c r="E178" s="582"/>
      <c r="F178" s="596"/>
      <c r="G178" s="169" t="s">
        <v>55</v>
      </c>
      <c r="H178" s="64">
        <f>SUM(I178:K178)</f>
        <v>0</v>
      </c>
      <c r="I178" s="72"/>
      <c r="J178" s="72"/>
      <c r="K178" s="71"/>
      <c r="L178" s="64">
        <f>SUM(M178:O178)</f>
        <v>0</v>
      </c>
      <c r="M178" s="44"/>
      <c r="N178" s="44"/>
      <c r="O178" s="71"/>
      <c r="P178" s="70">
        <f>ROUND(5303900/3.4528/2,0)</f>
        <v>768058</v>
      </c>
      <c r="Q178" s="99">
        <f>ROUND(5303900/3.4528/2,0)</f>
        <v>768058</v>
      </c>
      <c r="R178" s="418"/>
      <c r="S178" s="508"/>
      <c r="T178" s="349"/>
      <c r="U178" s="377"/>
      <c r="V178" s="63"/>
    </row>
    <row r="179" spans="1:22" s="42" customFormat="1" ht="18.75" customHeight="1" x14ac:dyDescent="0.2">
      <c r="A179" s="355"/>
      <c r="B179" s="357"/>
      <c r="C179" s="359"/>
      <c r="D179" s="361"/>
      <c r="E179" s="582"/>
      <c r="F179" s="583"/>
      <c r="G179" s="169" t="s">
        <v>29</v>
      </c>
      <c r="H179" s="64">
        <f>SUM(I179:K179)</f>
        <v>0</v>
      </c>
      <c r="I179" s="72"/>
      <c r="J179" s="72"/>
      <c r="K179" s="71"/>
      <c r="L179" s="64">
        <f>SUM(M179:O179)</f>
        <v>0</v>
      </c>
      <c r="M179" s="44"/>
      <c r="N179" s="44"/>
      <c r="O179" s="71"/>
      <c r="P179" s="70">
        <v>67770</v>
      </c>
      <c r="Q179" s="99">
        <v>67770</v>
      </c>
      <c r="R179" s="418"/>
      <c r="S179" s="509"/>
      <c r="T179" s="350"/>
      <c r="U179" s="378"/>
      <c r="V179" s="63"/>
    </row>
    <row r="180" spans="1:22" s="42" customFormat="1" ht="35.25" customHeight="1" thickBot="1" x14ac:dyDescent="0.25">
      <c r="A180" s="355"/>
      <c r="B180" s="357"/>
      <c r="C180" s="359"/>
      <c r="D180" s="361"/>
      <c r="E180" s="582"/>
      <c r="F180" s="583"/>
      <c r="G180" s="173" t="s">
        <v>12</v>
      </c>
      <c r="H180" s="271">
        <f t="shared" ref="H180:O180" si="39">SUM(H177:H179)</f>
        <v>15000</v>
      </c>
      <c r="I180" s="272">
        <f t="shared" si="39"/>
        <v>0</v>
      </c>
      <c r="J180" s="272">
        <f t="shared" si="39"/>
        <v>0</v>
      </c>
      <c r="K180" s="273">
        <f t="shared" si="39"/>
        <v>15000</v>
      </c>
      <c r="L180" s="271">
        <f t="shared" si="39"/>
        <v>15000</v>
      </c>
      <c r="M180" s="272">
        <f t="shared" si="39"/>
        <v>0</v>
      </c>
      <c r="N180" s="272">
        <f t="shared" si="39"/>
        <v>0</v>
      </c>
      <c r="O180" s="273">
        <f t="shared" si="39"/>
        <v>15000</v>
      </c>
      <c r="P180" s="274">
        <f>SUM(P177:P179)</f>
        <v>903598</v>
      </c>
      <c r="Q180" s="275">
        <f>SUM(Q177:Q179)</f>
        <v>903598</v>
      </c>
      <c r="R180" s="453"/>
      <c r="S180" s="82">
        <f>SUM(S179:S179)</f>
        <v>0</v>
      </c>
      <c r="T180" s="85">
        <f>SUM(T179:T179)</f>
        <v>0</v>
      </c>
      <c r="U180" s="86">
        <f>SUM(U179:U179)</f>
        <v>0</v>
      </c>
      <c r="V180" s="63"/>
    </row>
    <row r="181" spans="1:22" s="42" customFormat="1" ht="14.25" customHeight="1" thickBot="1" x14ac:dyDescent="0.25">
      <c r="A181" s="49" t="s">
        <v>17</v>
      </c>
      <c r="B181" s="50" t="s">
        <v>19</v>
      </c>
      <c r="C181" s="436" t="s">
        <v>13</v>
      </c>
      <c r="D181" s="436"/>
      <c r="E181" s="436"/>
      <c r="F181" s="436"/>
      <c r="G181" s="437"/>
      <c r="H181" s="94">
        <f>H117+H121+H126+H132+H141+H147+H152+H156+H159+H166+H170+H172+H176+H180</f>
        <v>3689931.16</v>
      </c>
      <c r="I181" s="94">
        <f t="shared" ref="I181:Q181" si="40">I117+I121+I126+I132+I141+I147+I152+I156+I159+I166+I170+I172+I176+I180</f>
        <v>0</v>
      </c>
      <c r="J181" s="94">
        <f t="shared" si="40"/>
        <v>0</v>
      </c>
      <c r="K181" s="94">
        <f t="shared" si="40"/>
        <v>3689931.16</v>
      </c>
      <c r="L181" s="94">
        <f t="shared" si="40"/>
        <v>2927172.16</v>
      </c>
      <c r="M181" s="94">
        <f t="shared" si="40"/>
        <v>0</v>
      </c>
      <c r="N181" s="94">
        <f t="shared" si="40"/>
        <v>0</v>
      </c>
      <c r="O181" s="94">
        <f t="shared" si="40"/>
        <v>2927172.16</v>
      </c>
      <c r="P181" s="276">
        <f t="shared" si="40"/>
        <v>4119732.16</v>
      </c>
      <c r="Q181" s="96">
        <f t="shared" si="40"/>
        <v>2358231</v>
      </c>
      <c r="R181" s="94" t="s">
        <v>23</v>
      </c>
      <c r="S181" s="50" t="s">
        <v>23</v>
      </c>
      <c r="T181" s="50" t="s">
        <v>23</v>
      </c>
      <c r="U181" s="95" t="s">
        <v>23</v>
      </c>
    </row>
    <row r="182" spans="1:22" ht="15" customHeight="1" thickBot="1" x14ac:dyDescent="0.25">
      <c r="A182" s="102" t="s">
        <v>17</v>
      </c>
      <c r="B182" s="103" t="s">
        <v>20</v>
      </c>
      <c r="C182" s="493" t="s">
        <v>120</v>
      </c>
      <c r="D182" s="494"/>
      <c r="E182" s="494"/>
      <c r="F182" s="494"/>
      <c r="G182" s="494"/>
      <c r="H182" s="495"/>
      <c r="I182" s="495"/>
      <c r="J182" s="495"/>
      <c r="K182" s="495"/>
      <c r="L182" s="495"/>
      <c r="M182" s="495"/>
      <c r="N182" s="495"/>
      <c r="O182" s="495"/>
      <c r="P182" s="494"/>
      <c r="Q182" s="494"/>
      <c r="R182" s="496"/>
      <c r="S182" s="496"/>
      <c r="T182" s="496"/>
      <c r="U182" s="497"/>
    </row>
    <row r="183" spans="1:22" ht="18" customHeight="1" x14ac:dyDescent="0.2">
      <c r="A183" s="498" t="s">
        <v>17</v>
      </c>
      <c r="B183" s="456" t="s">
        <v>20</v>
      </c>
      <c r="C183" s="472" t="s">
        <v>17</v>
      </c>
      <c r="D183" s="463" t="s">
        <v>245</v>
      </c>
      <c r="E183" s="464">
        <v>5</v>
      </c>
      <c r="F183" s="398" t="s">
        <v>182</v>
      </c>
      <c r="G183" s="168" t="s">
        <v>112</v>
      </c>
      <c r="H183" s="51">
        <f>SUM(I183:K183)</f>
        <v>215000</v>
      </c>
      <c r="I183" s="52"/>
      <c r="J183" s="52"/>
      <c r="K183" s="40">
        <v>215000</v>
      </c>
      <c r="L183" s="51">
        <f>SUM(M183:O183)</f>
        <v>215000</v>
      </c>
      <c r="M183" s="52"/>
      <c r="N183" s="52"/>
      <c r="O183" s="40">
        <v>215000</v>
      </c>
      <c r="P183" s="53">
        <v>215000</v>
      </c>
      <c r="Q183" s="53">
        <v>215000</v>
      </c>
      <c r="R183" s="489" t="s">
        <v>156</v>
      </c>
      <c r="S183" s="406"/>
      <c r="T183" s="404">
        <v>1</v>
      </c>
      <c r="U183" s="403">
        <v>1</v>
      </c>
      <c r="V183" s="57"/>
    </row>
    <row r="184" spans="1:22" ht="18" customHeight="1" x14ac:dyDescent="0.2">
      <c r="A184" s="498"/>
      <c r="B184" s="456"/>
      <c r="C184" s="472"/>
      <c r="D184" s="463"/>
      <c r="E184" s="464"/>
      <c r="F184" s="398"/>
      <c r="G184" s="169" t="s">
        <v>102</v>
      </c>
      <c r="H184" s="64">
        <f>SUM(I184:K184)</f>
        <v>5840670</v>
      </c>
      <c r="I184" s="44"/>
      <c r="J184" s="44"/>
      <c r="K184" s="65">
        <f>4827000+48270+965400</f>
        <v>5840670</v>
      </c>
      <c r="L184" s="64">
        <f>SUM(M184:O184)</f>
        <v>0</v>
      </c>
      <c r="M184" s="44"/>
      <c r="N184" s="44"/>
      <c r="O184" s="65"/>
      <c r="P184" s="70"/>
      <c r="Q184" s="70"/>
      <c r="R184" s="344"/>
      <c r="S184" s="347"/>
      <c r="T184" s="405"/>
      <c r="U184" s="378"/>
      <c r="V184" s="57"/>
    </row>
    <row r="185" spans="1:22" s="42" customFormat="1" ht="19.5" customHeight="1" x14ac:dyDescent="0.2">
      <c r="A185" s="498"/>
      <c r="B185" s="456"/>
      <c r="C185" s="472"/>
      <c r="D185" s="463"/>
      <c r="E185" s="464"/>
      <c r="F185" s="399"/>
      <c r="G185" s="170" t="s">
        <v>12</v>
      </c>
      <c r="H185" s="58">
        <f t="shared" ref="H185:Q185" si="41">SUM(H183:H184)</f>
        <v>6055670</v>
      </c>
      <c r="I185" s="59">
        <f t="shared" si="41"/>
        <v>0</v>
      </c>
      <c r="J185" s="59">
        <f t="shared" si="41"/>
        <v>0</v>
      </c>
      <c r="K185" s="60">
        <f t="shared" si="41"/>
        <v>6055670</v>
      </c>
      <c r="L185" s="58">
        <f t="shared" si="41"/>
        <v>215000</v>
      </c>
      <c r="M185" s="59">
        <f t="shared" si="41"/>
        <v>0</v>
      </c>
      <c r="N185" s="59">
        <f t="shared" si="41"/>
        <v>0</v>
      </c>
      <c r="O185" s="60">
        <f t="shared" si="41"/>
        <v>215000</v>
      </c>
      <c r="P185" s="62">
        <f t="shared" si="41"/>
        <v>215000</v>
      </c>
      <c r="Q185" s="62">
        <f t="shared" si="41"/>
        <v>215000</v>
      </c>
      <c r="R185" s="418"/>
      <c r="S185" s="252">
        <f>SUM(S183:S183)</f>
        <v>0</v>
      </c>
      <c r="T185" s="115">
        <f>SUM(T183:T183)</f>
        <v>1</v>
      </c>
      <c r="U185" s="60">
        <f>SUM(U183:U183)</f>
        <v>1</v>
      </c>
      <c r="V185" s="63"/>
    </row>
    <row r="186" spans="1:22" s="42" customFormat="1" ht="36.75" hidden="1" customHeight="1" outlineLevel="1" x14ac:dyDescent="0.2">
      <c r="A186" s="178">
        <v>1</v>
      </c>
      <c r="B186" s="178">
        <v>4</v>
      </c>
      <c r="C186" s="179" t="s">
        <v>255</v>
      </c>
      <c r="D186" s="142" t="s">
        <v>269</v>
      </c>
      <c r="E186" s="140"/>
      <c r="F186" s="277"/>
      <c r="G186" s="169"/>
      <c r="H186" s="64"/>
      <c r="I186" s="44"/>
      <c r="J186" s="44"/>
      <c r="K186" s="65"/>
      <c r="L186" s="64"/>
      <c r="M186" s="44"/>
      <c r="N186" s="44"/>
      <c r="O186" s="65"/>
      <c r="P186" s="70"/>
      <c r="Q186" s="70"/>
      <c r="R186" s="261"/>
      <c r="S186" s="64"/>
      <c r="T186" s="44"/>
      <c r="U186" s="65"/>
      <c r="V186" s="63"/>
    </row>
    <row r="187" spans="1:22" s="42" customFormat="1" ht="30.75" hidden="1" customHeight="1" outlineLevel="1" x14ac:dyDescent="0.2">
      <c r="A187" s="178">
        <v>1</v>
      </c>
      <c r="B187" s="178">
        <v>4</v>
      </c>
      <c r="C187" s="179" t="s">
        <v>270</v>
      </c>
      <c r="D187" s="142" t="s">
        <v>279</v>
      </c>
      <c r="E187" s="140"/>
      <c r="F187" s="277"/>
      <c r="G187" s="169"/>
      <c r="H187" s="64"/>
      <c r="I187" s="44"/>
      <c r="J187" s="44"/>
      <c r="K187" s="65"/>
      <c r="L187" s="64"/>
      <c r="M187" s="44"/>
      <c r="N187" s="44"/>
      <c r="O187" s="65"/>
      <c r="P187" s="70"/>
      <c r="Q187" s="70"/>
      <c r="R187" s="261"/>
      <c r="S187" s="64"/>
      <c r="T187" s="44"/>
      <c r="U187" s="65"/>
      <c r="V187" s="63"/>
    </row>
    <row r="188" spans="1:22" s="42" customFormat="1" ht="26.25" hidden="1" customHeight="1" outlineLevel="1" x14ac:dyDescent="0.2">
      <c r="A188" s="178">
        <v>1</v>
      </c>
      <c r="B188" s="178">
        <v>4</v>
      </c>
      <c r="C188" s="179" t="s">
        <v>271</v>
      </c>
      <c r="D188" s="142" t="s">
        <v>278</v>
      </c>
      <c r="E188" s="140"/>
      <c r="F188" s="277"/>
      <c r="G188" s="169"/>
      <c r="H188" s="64"/>
      <c r="I188" s="44"/>
      <c r="J188" s="44"/>
      <c r="K188" s="65"/>
      <c r="L188" s="64"/>
      <c r="M188" s="44"/>
      <c r="N188" s="44"/>
      <c r="O188" s="65"/>
      <c r="P188" s="70"/>
      <c r="Q188" s="70"/>
      <c r="R188" s="261"/>
      <c r="S188" s="64"/>
      <c r="T188" s="44"/>
      <c r="U188" s="65"/>
      <c r="V188" s="63"/>
    </row>
    <row r="189" spans="1:22" s="42" customFormat="1" ht="23.25" hidden="1" customHeight="1" outlineLevel="1" x14ac:dyDescent="0.2">
      <c r="A189" s="178">
        <v>1</v>
      </c>
      <c r="B189" s="178">
        <v>4</v>
      </c>
      <c r="C189" s="179" t="s">
        <v>272</v>
      </c>
      <c r="D189" s="142" t="s">
        <v>280</v>
      </c>
      <c r="E189" s="140"/>
      <c r="F189" s="277"/>
      <c r="G189" s="169"/>
      <c r="H189" s="64"/>
      <c r="I189" s="44"/>
      <c r="J189" s="44"/>
      <c r="K189" s="65"/>
      <c r="L189" s="64"/>
      <c r="M189" s="44"/>
      <c r="N189" s="44"/>
      <c r="O189" s="65"/>
      <c r="P189" s="70"/>
      <c r="Q189" s="70"/>
      <c r="R189" s="261"/>
      <c r="S189" s="64"/>
      <c r="T189" s="44"/>
      <c r="U189" s="65"/>
      <c r="V189" s="63"/>
    </row>
    <row r="190" spans="1:22" s="42" customFormat="1" ht="54" hidden="1" customHeight="1" outlineLevel="1" x14ac:dyDescent="0.2">
      <c r="A190" s="178">
        <v>1</v>
      </c>
      <c r="B190" s="178">
        <v>4</v>
      </c>
      <c r="C190" s="179" t="s">
        <v>273</v>
      </c>
      <c r="D190" s="142" t="s">
        <v>281</v>
      </c>
      <c r="E190" s="140"/>
      <c r="F190" s="277"/>
      <c r="G190" s="169"/>
      <c r="H190" s="64"/>
      <c r="I190" s="44"/>
      <c r="J190" s="44"/>
      <c r="K190" s="65"/>
      <c r="L190" s="64"/>
      <c r="M190" s="44"/>
      <c r="N190" s="44"/>
      <c r="O190" s="65"/>
      <c r="P190" s="70"/>
      <c r="Q190" s="70"/>
      <c r="R190" s="261"/>
      <c r="S190" s="64"/>
      <c r="T190" s="44"/>
      <c r="U190" s="65"/>
      <c r="V190" s="63"/>
    </row>
    <row r="191" spans="1:22" s="42" customFormat="1" ht="51.75" hidden="1" customHeight="1" outlineLevel="1" x14ac:dyDescent="0.2">
      <c r="A191" s="178">
        <v>1</v>
      </c>
      <c r="B191" s="178">
        <v>4</v>
      </c>
      <c r="C191" s="179" t="s">
        <v>274</v>
      </c>
      <c r="D191" s="142" t="s">
        <v>286</v>
      </c>
      <c r="E191" s="140"/>
      <c r="F191" s="277"/>
      <c r="G191" s="169"/>
      <c r="H191" s="64"/>
      <c r="I191" s="44"/>
      <c r="J191" s="44"/>
      <c r="K191" s="65"/>
      <c r="L191" s="64"/>
      <c r="M191" s="44"/>
      <c r="N191" s="44"/>
      <c r="O191" s="65"/>
      <c r="P191" s="70"/>
      <c r="Q191" s="70"/>
      <c r="R191" s="261"/>
      <c r="S191" s="64"/>
      <c r="T191" s="44"/>
      <c r="U191" s="65"/>
      <c r="V191" s="63"/>
    </row>
    <row r="192" spans="1:22" s="42" customFormat="1" ht="34.5" hidden="1" customHeight="1" outlineLevel="1" x14ac:dyDescent="0.2">
      <c r="A192" s="178">
        <v>1</v>
      </c>
      <c r="B192" s="178">
        <v>4</v>
      </c>
      <c r="C192" s="179" t="s">
        <v>189</v>
      </c>
      <c r="D192" s="142" t="s">
        <v>282</v>
      </c>
      <c r="E192" s="140"/>
      <c r="F192" s="277"/>
      <c r="G192" s="169"/>
      <c r="H192" s="64"/>
      <c r="I192" s="44"/>
      <c r="J192" s="44"/>
      <c r="K192" s="65"/>
      <c r="L192" s="64"/>
      <c r="M192" s="44"/>
      <c r="N192" s="44"/>
      <c r="O192" s="65"/>
      <c r="P192" s="70"/>
      <c r="Q192" s="70"/>
      <c r="R192" s="261"/>
      <c r="S192" s="64"/>
      <c r="T192" s="44"/>
      <c r="U192" s="65"/>
      <c r="V192" s="63"/>
    </row>
    <row r="193" spans="1:22" s="42" customFormat="1" ht="43.5" hidden="1" customHeight="1" outlineLevel="1" x14ac:dyDescent="0.2">
      <c r="A193" s="178">
        <v>1</v>
      </c>
      <c r="B193" s="178">
        <v>4</v>
      </c>
      <c r="C193" s="179" t="s">
        <v>275</v>
      </c>
      <c r="D193" s="142" t="s">
        <v>283</v>
      </c>
      <c r="E193" s="140"/>
      <c r="F193" s="277"/>
      <c r="G193" s="169"/>
      <c r="H193" s="64"/>
      <c r="I193" s="44"/>
      <c r="J193" s="44"/>
      <c r="K193" s="65"/>
      <c r="L193" s="64"/>
      <c r="M193" s="44"/>
      <c r="N193" s="44"/>
      <c r="O193" s="65"/>
      <c r="P193" s="70"/>
      <c r="Q193" s="70"/>
      <c r="R193" s="261"/>
      <c r="S193" s="64"/>
      <c r="T193" s="44"/>
      <c r="U193" s="65"/>
      <c r="V193" s="63"/>
    </row>
    <row r="194" spans="1:22" s="42" customFormat="1" ht="34.5" hidden="1" customHeight="1" outlineLevel="1" x14ac:dyDescent="0.2">
      <c r="A194" s="178">
        <v>1</v>
      </c>
      <c r="B194" s="178">
        <v>4</v>
      </c>
      <c r="C194" s="179" t="s">
        <v>276</v>
      </c>
      <c r="D194" s="142" t="s">
        <v>284</v>
      </c>
      <c r="E194" s="140"/>
      <c r="F194" s="277"/>
      <c r="G194" s="169"/>
      <c r="H194" s="64"/>
      <c r="I194" s="44"/>
      <c r="J194" s="44"/>
      <c r="K194" s="65"/>
      <c r="L194" s="64"/>
      <c r="M194" s="44"/>
      <c r="N194" s="44"/>
      <c r="O194" s="65"/>
      <c r="P194" s="70"/>
      <c r="Q194" s="70"/>
      <c r="R194" s="261"/>
      <c r="S194" s="64"/>
      <c r="T194" s="44"/>
      <c r="U194" s="65"/>
      <c r="V194" s="63"/>
    </row>
    <row r="195" spans="1:22" s="42" customFormat="1" ht="45.75" hidden="1" customHeight="1" outlineLevel="1" x14ac:dyDescent="0.2">
      <c r="A195" s="178">
        <v>1</v>
      </c>
      <c r="B195" s="178">
        <v>4</v>
      </c>
      <c r="C195" s="179" t="s">
        <v>277</v>
      </c>
      <c r="D195" s="142" t="s">
        <v>285</v>
      </c>
      <c r="E195" s="140"/>
      <c r="F195" s="277"/>
      <c r="G195" s="169"/>
      <c r="H195" s="64"/>
      <c r="I195" s="44"/>
      <c r="J195" s="44"/>
      <c r="K195" s="65"/>
      <c r="L195" s="64"/>
      <c r="M195" s="44"/>
      <c r="N195" s="44"/>
      <c r="O195" s="65"/>
      <c r="P195" s="70"/>
      <c r="Q195" s="70"/>
      <c r="R195" s="261"/>
      <c r="S195" s="64"/>
      <c r="T195" s="44"/>
      <c r="U195" s="65"/>
      <c r="V195" s="63"/>
    </row>
    <row r="196" spans="1:22" s="42" customFormat="1" ht="19.5" customHeight="1" collapsed="1" x14ac:dyDescent="0.2">
      <c r="A196" s="471">
        <v>1</v>
      </c>
      <c r="B196" s="409">
        <v>4</v>
      </c>
      <c r="C196" s="410">
        <v>2</v>
      </c>
      <c r="D196" s="361" t="s">
        <v>266</v>
      </c>
      <c r="E196" s="413">
        <v>5</v>
      </c>
      <c r="F196" s="492" t="s">
        <v>182</v>
      </c>
      <c r="G196" s="166" t="s">
        <v>258</v>
      </c>
      <c r="H196" s="138">
        <f>SUM(I196:K196)</f>
        <v>63316</v>
      </c>
      <c r="I196" s="137"/>
      <c r="J196" s="137"/>
      <c r="K196" s="77">
        <f>ROUND(218618.5/3.4528,0)</f>
        <v>63316</v>
      </c>
      <c r="L196" s="138">
        <f>SUM(M196:O196)</f>
        <v>63316</v>
      </c>
      <c r="M196" s="137"/>
      <c r="N196" s="137"/>
      <c r="O196" s="77">
        <f>ROUND(218618.5/3.4528,0)</f>
        <v>63316</v>
      </c>
      <c r="P196" s="114"/>
      <c r="Q196" s="114"/>
      <c r="R196" s="344" t="s">
        <v>156</v>
      </c>
      <c r="S196" s="202"/>
      <c r="T196" s="73"/>
      <c r="U196" s="77"/>
      <c r="V196" s="63"/>
    </row>
    <row r="197" spans="1:22" s="42" customFormat="1" ht="19.5" customHeight="1" x14ac:dyDescent="0.2">
      <c r="A197" s="454"/>
      <c r="B197" s="456"/>
      <c r="C197" s="472"/>
      <c r="D197" s="473"/>
      <c r="E197" s="464"/>
      <c r="F197" s="399"/>
      <c r="G197" s="170" t="s">
        <v>12</v>
      </c>
      <c r="H197" s="58">
        <f t="shared" ref="H197:Q197" si="42">SUM(H196:H196)</f>
        <v>63316</v>
      </c>
      <c r="I197" s="59">
        <f t="shared" si="42"/>
        <v>0</v>
      </c>
      <c r="J197" s="59">
        <f t="shared" si="42"/>
        <v>0</v>
      </c>
      <c r="K197" s="60">
        <f t="shared" si="42"/>
        <v>63316</v>
      </c>
      <c r="L197" s="58">
        <f t="shared" si="42"/>
        <v>63316</v>
      </c>
      <c r="M197" s="59">
        <f t="shared" si="42"/>
        <v>0</v>
      </c>
      <c r="N197" s="59">
        <f t="shared" si="42"/>
        <v>0</v>
      </c>
      <c r="O197" s="60">
        <f t="shared" si="42"/>
        <v>63316</v>
      </c>
      <c r="P197" s="62">
        <f t="shared" si="42"/>
        <v>0</v>
      </c>
      <c r="Q197" s="62">
        <f t="shared" si="42"/>
        <v>0</v>
      </c>
      <c r="R197" s="418"/>
      <c r="S197" s="252"/>
      <c r="T197" s="115"/>
      <c r="U197" s="60"/>
      <c r="V197" s="63"/>
    </row>
    <row r="198" spans="1:22" s="42" customFormat="1" ht="19.5" customHeight="1" x14ac:dyDescent="0.2">
      <c r="A198" s="354">
        <v>1</v>
      </c>
      <c r="B198" s="356">
        <v>4</v>
      </c>
      <c r="C198" s="358">
        <v>3</v>
      </c>
      <c r="D198" s="360" t="s">
        <v>246</v>
      </c>
      <c r="E198" s="362">
        <v>6</v>
      </c>
      <c r="F198" s="364" t="s">
        <v>184</v>
      </c>
      <c r="G198" s="169" t="s">
        <v>112</v>
      </c>
      <c r="H198" s="64">
        <f>SUM(I198:K198)</f>
        <v>4000</v>
      </c>
      <c r="I198" s="44"/>
      <c r="J198" s="44"/>
      <c r="K198" s="65">
        <v>4000</v>
      </c>
      <c r="L198" s="64">
        <f>SUM(M198:O198)</f>
        <v>4000</v>
      </c>
      <c r="M198" s="44"/>
      <c r="N198" s="44"/>
      <c r="O198" s="65">
        <v>4000</v>
      </c>
      <c r="P198" s="70">
        <v>82890</v>
      </c>
      <c r="Q198" s="70"/>
      <c r="R198" s="342" t="s">
        <v>156</v>
      </c>
      <c r="S198" s="520"/>
      <c r="T198" s="385">
        <v>1</v>
      </c>
      <c r="U198" s="351"/>
      <c r="V198" s="63"/>
    </row>
    <row r="199" spans="1:22" s="42" customFormat="1" ht="19.5" customHeight="1" x14ac:dyDescent="0.2">
      <c r="A199" s="355"/>
      <c r="B199" s="357"/>
      <c r="C199" s="359"/>
      <c r="D199" s="361"/>
      <c r="E199" s="363"/>
      <c r="F199" s="365"/>
      <c r="G199" s="169" t="s">
        <v>55</v>
      </c>
      <c r="H199" s="64">
        <f>SUM(I199:K199)</f>
        <v>0</v>
      </c>
      <c r="I199" s="44"/>
      <c r="J199" s="44"/>
      <c r="K199" s="65"/>
      <c r="L199" s="64">
        <f>SUM(M199:O199)</f>
        <v>0</v>
      </c>
      <c r="M199" s="44"/>
      <c r="N199" s="44"/>
      <c r="O199" s="65"/>
      <c r="P199" s="70">
        <v>492350</v>
      </c>
      <c r="Q199" s="70"/>
      <c r="R199" s="343"/>
      <c r="S199" s="521"/>
      <c r="T199" s="387"/>
      <c r="U199" s="353"/>
      <c r="V199" s="63"/>
    </row>
    <row r="200" spans="1:22" s="42" customFormat="1" ht="19.5" customHeight="1" x14ac:dyDescent="0.2">
      <c r="A200" s="471"/>
      <c r="B200" s="409"/>
      <c r="C200" s="410"/>
      <c r="D200" s="473"/>
      <c r="E200" s="413"/>
      <c r="F200" s="414"/>
      <c r="G200" s="170" t="s">
        <v>12</v>
      </c>
      <c r="H200" s="58">
        <f t="shared" ref="H200:Q200" si="43">SUM(H198:H199)</f>
        <v>4000</v>
      </c>
      <c r="I200" s="59">
        <f t="shared" si="43"/>
        <v>0</v>
      </c>
      <c r="J200" s="59">
        <f t="shared" si="43"/>
        <v>0</v>
      </c>
      <c r="K200" s="60">
        <f t="shared" si="43"/>
        <v>4000</v>
      </c>
      <c r="L200" s="58">
        <f t="shared" si="43"/>
        <v>4000</v>
      </c>
      <c r="M200" s="59">
        <f t="shared" si="43"/>
        <v>0</v>
      </c>
      <c r="N200" s="59">
        <f t="shared" si="43"/>
        <v>0</v>
      </c>
      <c r="O200" s="60">
        <f t="shared" si="43"/>
        <v>4000</v>
      </c>
      <c r="P200" s="62">
        <f t="shared" si="43"/>
        <v>575240</v>
      </c>
      <c r="Q200" s="62">
        <f t="shared" si="43"/>
        <v>0</v>
      </c>
      <c r="R200" s="344"/>
      <c r="S200" s="252">
        <f>SUM(S198)</f>
        <v>0</v>
      </c>
      <c r="T200" s="115">
        <f>SUM(T198)</f>
        <v>1</v>
      </c>
      <c r="U200" s="60">
        <f>SUM(U198)</f>
        <v>0</v>
      </c>
      <c r="V200" s="63"/>
    </row>
    <row r="201" spans="1:22" s="42" customFormat="1" ht="19.5" customHeight="1" x14ac:dyDescent="0.2">
      <c r="A201" s="354">
        <v>1</v>
      </c>
      <c r="B201" s="356">
        <v>4</v>
      </c>
      <c r="C201" s="358">
        <v>4</v>
      </c>
      <c r="D201" s="360" t="s">
        <v>328</v>
      </c>
      <c r="E201" s="362">
        <v>6</v>
      </c>
      <c r="F201" s="364" t="s">
        <v>184</v>
      </c>
      <c r="G201" s="169" t="s">
        <v>112</v>
      </c>
      <c r="H201" s="64">
        <f>SUM(I201:K201)</f>
        <v>3440</v>
      </c>
      <c r="I201" s="44"/>
      <c r="J201" s="44"/>
      <c r="K201" s="65">
        <v>3440</v>
      </c>
      <c r="L201" s="64">
        <f>SUM(M201:O201)</f>
        <v>3440</v>
      </c>
      <c r="M201" s="44"/>
      <c r="N201" s="44"/>
      <c r="O201" s="65">
        <v>3440</v>
      </c>
      <c r="P201" s="70">
        <v>40000</v>
      </c>
      <c r="Q201" s="70"/>
      <c r="R201" s="342" t="s">
        <v>156</v>
      </c>
      <c r="S201" s="520"/>
      <c r="T201" s="385">
        <v>1</v>
      </c>
      <c r="U201" s="351"/>
      <c r="V201" s="63"/>
    </row>
    <row r="202" spans="1:22" s="42" customFormat="1" ht="19.5" customHeight="1" x14ac:dyDescent="0.2">
      <c r="A202" s="355"/>
      <c r="B202" s="357"/>
      <c r="C202" s="359"/>
      <c r="D202" s="361"/>
      <c r="E202" s="363"/>
      <c r="F202" s="365"/>
      <c r="G202" s="169" t="s">
        <v>55</v>
      </c>
      <c r="H202" s="64">
        <f>SUM(I202:K202)</f>
        <v>0</v>
      </c>
      <c r="I202" s="44"/>
      <c r="J202" s="44"/>
      <c r="K202" s="65"/>
      <c r="L202" s="64">
        <f>SUM(M202:O202)</f>
        <v>0</v>
      </c>
      <c r="M202" s="44"/>
      <c r="N202" s="44"/>
      <c r="O202" s="65"/>
      <c r="P202" s="70">
        <v>246180</v>
      </c>
      <c r="Q202" s="70"/>
      <c r="R202" s="343"/>
      <c r="S202" s="521"/>
      <c r="T202" s="387"/>
      <c r="U202" s="353"/>
      <c r="V202" s="63"/>
    </row>
    <row r="203" spans="1:22" s="42" customFormat="1" ht="19.5" customHeight="1" x14ac:dyDescent="0.2">
      <c r="A203" s="471"/>
      <c r="B203" s="409"/>
      <c r="C203" s="410"/>
      <c r="D203" s="473"/>
      <c r="E203" s="413"/>
      <c r="F203" s="414"/>
      <c r="G203" s="170" t="s">
        <v>12</v>
      </c>
      <c r="H203" s="58">
        <f t="shared" ref="H203:Q203" si="44">SUM(H201:H202)</f>
        <v>3440</v>
      </c>
      <c r="I203" s="59">
        <f t="shared" si="44"/>
        <v>0</v>
      </c>
      <c r="J203" s="59">
        <f t="shared" si="44"/>
        <v>0</v>
      </c>
      <c r="K203" s="60">
        <f t="shared" si="44"/>
        <v>3440</v>
      </c>
      <c r="L203" s="58">
        <f t="shared" si="44"/>
        <v>3440</v>
      </c>
      <c r="M203" s="59">
        <f t="shared" si="44"/>
        <v>0</v>
      </c>
      <c r="N203" s="59">
        <f t="shared" si="44"/>
        <v>0</v>
      </c>
      <c r="O203" s="60">
        <f t="shared" si="44"/>
        <v>3440</v>
      </c>
      <c r="P203" s="62">
        <f t="shared" si="44"/>
        <v>286180</v>
      </c>
      <c r="Q203" s="62">
        <f t="shared" si="44"/>
        <v>0</v>
      </c>
      <c r="R203" s="344"/>
      <c r="S203" s="252">
        <f>SUM(S201)</f>
        <v>0</v>
      </c>
      <c r="T203" s="115">
        <f>SUM(T201)</f>
        <v>1</v>
      </c>
      <c r="U203" s="60">
        <f>SUM(U201)</f>
        <v>0</v>
      </c>
      <c r="V203" s="63"/>
    </row>
    <row r="204" spans="1:22" s="42" customFormat="1" ht="19.5" customHeight="1" x14ac:dyDescent="0.2">
      <c r="A204" s="354">
        <v>1</v>
      </c>
      <c r="B204" s="356">
        <v>4</v>
      </c>
      <c r="C204" s="358">
        <v>5</v>
      </c>
      <c r="D204" s="360" t="s">
        <v>247</v>
      </c>
      <c r="E204" s="362">
        <v>6</v>
      </c>
      <c r="F204" s="364" t="s">
        <v>184</v>
      </c>
      <c r="G204" s="169" t="s">
        <v>112</v>
      </c>
      <c r="H204" s="64">
        <f>SUM(I204:K204)</f>
        <v>10000</v>
      </c>
      <c r="I204" s="44"/>
      <c r="J204" s="44"/>
      <c r="K204" s="65">
        <v>10000</v>
      </c>
      <c r="L204" s="64">
        <f>SUM(M204:O204)</f>
        <v>10000</v>
      </c>
      <c r="M204" s="44"/>
      <c r="N204" s="44"/>
      <c r="O204" s="65">
        <v>10000</v>
      </c>
      <c r="P204" s="70">
        <v>100000</v>
      </c>
      <c r="Q204" s="70">
        <v>100000</v>
      </c>
      <c r="R204" s="342" t="s">
        <v>156</v>
      </c>
      <c r="S204" s="520"/>
      <c r="T204" s="385"/>
      <c r="U204" s="351"/>
      <c r="V204" s="63"/>
    </row>
    <row r="205" spans="1:22" s="42" customFormat="1" ht="19.5" customHeight="1" x14ac:dyDescent="0.2">
      <c r="A205" s="355"/>
      <c r="B205" s="357"/>
      <c r="C205" s="359"/>
      <c r="D205" s="361"/>
      <c r="E205" s="363"/>
      <c r="F205" s="365"/>
      <c r="G205" s="169" t="s">
        <v>55</v>
      </c>
      <c r="H205" s="64">
        <f>SUM(I205:K205)</f>
        <v>0</v>
      </c>
      <c r="I205" s="44"/>
      <c r="J205" s="44"/>
      <c r="K205" s="65"/>
      <c r="L205" s="64">
        <f>SUM(M205:O205)</f>
        <v>0</v>
      </c>
      <c r="M205" s="44"/>
      <c r="N205" s="44"/>
      <c r="O205" s="65">
        <v>0</v>
      </c>
      <c r="P205" s="70">
        <v>2316960</v>
      </c>
      <c r="Q205" s="70">
        <v>2316960</v>
      </c>
      <c r="R205" s="343"/>
      <c r="S205" s="521"/>
      <c r="T205" s="387"/>
      <c r="U205" s="353"/>
      <c r="V205" s="63"/>
    </row>
    <row r="206" spans="1:22" s="42" customFormat="1" ht="19.5" customHeight="1" x14ac:dyDescent="0.2">
      <c r="A206" s="471"/>
      <c r="B206" s="409"/>
      <c r="C206" s="410"/>
      <c r="D206" s="473"/>
      <c r="E206" s="413"/>
      <c r="F206" s="414"/>
      <c r="G206" s="170" t="s">
        <v>12</v>
      </c>
      <c r="H206" s="58">
        <f t="shared" ref="H206:Q206" si="45">SUM(H204:H205)</f>
        <v>10000</v>
      </c>
      <c r="I206" s="59">
        <f t="shared" si="45"/>
        <v>0</v>
      </c>
      <c r="J206" s="59">
        <f t="shared" si="45"/>
        <v>0</v>
      </c>
      <c r="K206" s="60">
        <f t="shared" si="45"/>
        <v>10000</v>
      </c>
      <c r="L206" s="58">
        <f t="shared" si="45"/>
        <v>10000</v>
      </c>
      <c r="M206" s="59">
        <f t="shared" si="45"/>
        <v>0</v>
      </c>
      <c r="N206" s="59">
        <f t="shared" si="45"/>
        <v>0</v>
      </c>
      <c r="O206" s="60">
        <f t="shared" si="45"/>
        <v>10000</v>
      </c>
      <c r="P206" s="62">
        <f t="shared" si="45"/>
        <v>2416960</v>
      </c>
      <c r="Q206" s="62">
        <f t="shared" si="45"/>
        <v>2416960</v>
      </c>
      <c r="R206" s="344"/>
      <c r="S206" s="252">
        <f>SUM(S204)</f>
        <v>0</v>
      </c>
      <c r="T206" s="115">
        <f>SUM(T204)</f>
        <v>0</v>
      </c>
      <c r="U206" s="60">
        <f>SUM(U204)</f>
        <v>0</v>
      </c>
      <c r="V206" s="63"/>
    </row>
    <row r="207" spans="1:22" x14ac:dyDescent="0.2">
      <c r="A207" s="454" t="s">
        <v>17</v>
      </c>
      <c r="B207" s="456" t="s">
        <v>20</v>
      </c>
      <c r="C207" s="472">
        <v>6</v>
      </c>
      <c r="D207" s="463" t="s">
        <v>322</v>
      </c>
      <c r="E207" s="464">
        <v>6</v>
      </c>
      <c r="F207" s="398" t="s">
        <v>182</v>
      </c>
      <c r="G207" s="169" t="s">
        <v>112</v>
      </c>
      <c r="H207" s="64">
        <f>SUM(I207:K207)</f>
        <v>0</v>
      </c>
      <c r="I207" s="44"/>
      <c r="J207" s="44"/>
      <c r="K207" s="65">
        <v>0</v>
      </c>
      <c r="L207" s="64">
        <f>SUM(M207:O207)</f>
        <v>0</v>
      </c>
      <c r="M207" s="44"/>
      <c r="N207" s="44"/>
      <c r="O207" s="65">
        <v>0</v>
      </c>
      <c r="P207" s="70">
        <f>550000/3.4528</f>
        <v>159291.01019462466</v>
      </c>
      <c r="Q207" s="70">
        <f>550000/3.4528</f>
        <v>159291.01019462466</v>
      </c>
      <c r="R207" s="418" t="s">
        <v>156</v>
      </c>
      <c r="S207" s="345"/>
      <c r="T207" s="584"/>
      <c r="U207" s="369"/>
      <c r="V207" s="57"/>
    </row>
    <row r="208" spans="1:22" x14ac:dyDescent="0.2">
      <c r="A208" s="454"/>
      <c r="B208" s="456"/>
      <c r="C208" s="472"/>
      <c r="D208" s="463"/>
      <c r="E208" s="464"/>
      <c r="F208" s="399"/>
      <c r="G208" s="169" t="s">
        <v>55</v>
      </c>
      <c r="H208" s="64">
        <f t="shared" ref="H208:H219" si="46">SUM(I208:K208)</f>
        <v>0</v>
      </c>
      <c r="I208" s="44"/>
      <c r="J208" s="44"/>
      <c r="K208" s="65">
        <v>0</v>
      </c>
      <c r="L208" s="64">
        <f>SUM(M208:O208)</f>
        <v>0</v>
      </c>
      <c r="M208" s="44"/>
      <c r="N208" s="44"/>
      <c r="O208" s="65">
        <v>0</v>
      </c>
      <c r="P208" s="70">
        <f>14450000/3.4528</f>
        <v>4185009.2678405931</v>
      </c>
      <c r="Q208" s="70">
        <f>14450000/3.4528</f>
        <v>4185009.2678405931</v>
      </c>
      <c r="R208" s="418"/>
      <c r="S208" s="346"/>
      <c r="T208" s="585"/>
      <c r="U208" s="369"/>
      <c r="V208" s="57"/>
    </row>
    <row r="209" spans="1:22" x14ac:dyDescent="0.2">
      <c r="A209" s="454"/>
      <c r="B209" s="456"/>
      <c r="C209" s="472"/>
      <c r="D209" s="463"/>
      <c r="E209" s="464"/>
      <c r="F209" s="399"/>
      <c r="G209" s="169" t="s">
        <v>29</v>
      </c>
      <c r="H209" s="64">
        <f t="shared" si="46"/>
        <v>0</v>
      </c>
      <c r="I209" s="44"/>
      <c r="J209" s="44"/>
      <c r="K209" s="65">
        <v>0</v>
      </c>
      <c r="L209" s="64">
        <f>SUM(M209:O209)</f>
        <v>0</v>
      </c>
      <c r="M209" s="44"/>
      <c r="N209" s="44"/>
      <c r="O209" s="65">
        <v>0</v>
      </c>
      <c r="P209" s="70">
        <f>2000000/3.4528</f>
        <v>579240.03707136237</v>
      </c>
      <c r="Q209" s="70">
        <f>2000000/3.4528</f>
        <v>579240.03707136237</v>
      </c>
      <c r="R209" s="418"/>
      <c r="S209" s="347"/>
      <c r="T209" s="405"/>
      <c r="U209" s="369"/>
      <c r="V209" s="57"/>
    </row>
    <row r="210" spans="1:22" s="42" customFormat="1" ht="10.5" x14ac:dyDescent="0.2">
      <c r="A210" s="454"/>
      <c r="B210" s="456"/>
      <c r="C210" s="472"/>
      <c r="D210" s="463"/>
      <c r="E210" s="464"/>
      <c r="F210" s="399"/>
      <c r="G210" s="170" t="s">
        <v>12</v>
      </c>
      <c r="H210" s="58">
        <f t="shared" ref="H210:Q210" si="47">SUM(H207:H209)</f>
        <v>0</v>
      </c>
      <c r="I210" s="59">
        <f t="shared" si="47"/>
        <v>0</v>
      </c>
      <c r="J210" s="59">
        <f t="shared" si="47"/>
        <v>0</v>
      </c>
      <c r="K210" s="60">
        <f t="shared" si="47"/>
        <v>0</v>
      </c>
      <c r="L210" s="58">
        <f t="shared" si="47"/>
        <v>0</v>
      </c>
      <c r="M210" s="59">
        <f t="shared" si="47"/>
        <v>0</v>
      </c>
      <c r="N210" s="59">
        <f t="shared" si="47"/>
        <v>0</v>
      </c>
      <c r="O210" s="60">
        <f t="shared" si="47"/>
        <v>0</v>
      </c>
      <c r="P210" s="83">
        <f t="shared" si="47"/>
        <v>4923540.31510658</v>
      </c>
      <c r="Q210" s="83">
        <f t="shared" si="47"/>
        <v>4923540.31510658</v>
      </c>
      <c r="R210" s="418"/>
      <c r="S210" s="252">
        <f>SUM(S207:S209)</f>
        <v>0</v>
      </c>
      <c r="T210" s="115">
        <f>SUM(T207:T209)</f>
        <v>0</v>
      </c>
      <c r="U210" s="60">
        <f>SUM(U207:U209)</f>
        <v>0</v>
      </c>
      <c r="V210" s="63"/>
    </row>
    <row r="211" spans="1:22" s="42" customFormat="1" ht="22.5" customHeight="1" x14ac:dyDescent="0.2">
      <c r="A211" s="407">
        <v>1</v>
      </c>
      <c r="B211" s="356">
        <v>4</v>
      </c>
      <c r="C211" s="358">
        <v>7</v>
      </c>
      <c r="D211" s="411" t="s">
        <v>351</v>
      </c>
      <c r="E211" s="362">
        <v>6</v>
      </c>
      <c r="F211" s="364" t="s">
        <v>182</v>
      </c>
      <c r="G211" s="169" t="s">
        <v>84</v>
      </c>
      <c r="H211" s="64">
        <f t="shared" si="46"/>
        <v>579240</v>
      </c>
      <c r="I211" s="72"/>
      <c r="J211" s="72"/>
      <c r="K211" s="65">
        <v>579240</v>
      </c>
      <c r="L211" s="175"/>
      <c r="M211" s="72"/>
      <c r="N211" s="72"/>
      <c r="O211" s="116"/>
      <c r="P211" s="146"/>
      <c r="Q211" s="146"/>
      <c r="R211" s="342" t="s">
        <v>156</v>
      </c>
      <c r="S211" s="195"/>
      <c r="T211" s="199"/>
      <c r="U211" s="163"/>
      <c r="V211" s="63"/>
    </row>
    <row r="212" spans="1:22" s="42" customFormat="1" ht="11.25" customHeight="1" x14ac:dyDescent="0.2">
      <c r="A212" s="408"/>
      <c r="B212" s="409"/>
      <c r="C212" s="410"/>
      <c r="D212" s="412"/>
      <c r="E212" s="413"/>
      <c r="F212" s="414"/>
      <c r="G212" s="170" t="s">
        <v>12</v>
      </c>
      <c r="H212" s="58">
        <f t="shared" ref="H212:Q212" si="48">SUM(H211)</f>
        <v>579240</v>
      </c>
      <c r="I212" s="59">
        <f t="shared" si="48"/>
        <v>0</v>
      </c>
      <c r="J212" s="59">
        <f t="shared" si="48"/>
        <v>0</v>
      </c>
      <c r="K212" s="60">
        <f t="shared" si="48"/>
        <v>579240</v>
      </c>
      <c r="L212" s="58">
        <f t="shared" si="48"/>
        <v>0</v>
      </c>
      <c r="M212" s="59">
        <f t="shared" si="48"/>
        <v>0</v>
      </c>
      <c r="N212" s="59">
        <f t="shared" si="48"/>
        <v>0</v>
      </c>
      <c r="O212" s="60">
        <f t="shared" si="48"/>
        <v>0</v>
      </c>
      <c r="P212" s="83">
        <f t="shared" si="48"/>
        <v>0</v>
      </c>
      <c r="Q212" s="83">
        <f t="shared" si="48"/>
        <v>0</v>
      </c>
      <c r="R212" s="344"/>
      <c r="S212" s="278"/>
      <c r="T212" s="198"/>
      <c r="U212" s="86"/>
      <c r="V212" s="63"/>
    </row>
    <row r="213" spans="1:22" s="42" customFormat="1" ht="16.5" customHeight="1" x14ac:dyDescent="0.2">
      <c r="A213" s="478" t="s">
        <v>17</v>
      </c>
      <c r="B213" s="356" t="s">
        <v>20</v>
      </c>
      <c r="C213" s="358">
        <v>8</v>
      </c>
      <c r="D213" s="360" t="s">
        <v>249</v>
      </c>
      <c r="E213" s="362">
        <v>5</v>
      </c>
      <c r="F213" s="364" t="s">
        <v>184</v>
      </c>
      <c r="G213" s="169" t="s">
        <v>102</v>
      </c>
      <c r="H213" s="64">
        <f t="shared" si="46"/>
        <v>69000</v>
      </c>
      <c r="I213" s="44"/>
      <c r="J213" s="44"/>
      <c r="K213" s="65">
        <v>69000</v>
      </c>
      <c r="L213" s="64">
        <f>SUM(M213:O213)</f>
        <v>69000</v>
      </c>
      <c r="M213" s="44"/>
      <c r="N213" s="44"/>
      <c r="O213" s="65">
        <v>69000</v>
      </c>
      <c r="P213" s="70"/>
      <c r="Q213" s="70"/>
      <c r="R213" s="342" t="s">
        <v>156</v>
      </c>
      <c r="S213" s="345"/>
      <c r="T213" s="348"/>
      <c r="U213" s="351">
        <v>1</v>
      </c>
      <c r="V213" s="63"/>
    </row>
    <row r="214" spans="1:22" s="42" customFormat="1" ht="16.5" customHeight="1" x14ac:dyDescent="0.2">
      <c r="A214" s="479"/>
      <c r="B214" s="357"/>
      <c r="C214" s="359"/>
      <c r="D214" s="361"/>
      <c r="E214" s="363"/>
      <c r="F214" s="488"/>
      <c r="G214" s="169" t="s">
        <v>112</v>
      </c>
      <c r="H214" s="64">
        <f t="shared" si="46"/>
        <v>4000</v>
      </c>
      <c r="I214" s="44"/>
      <c r="J214" s="44"/>
      <c r="K214" s="65">
        <v>4000</v>
      </c>
      <c r="L214" s="64">
        <f>SUM(M214:O214)</f>
        <v>4000</v>
      </c>
      <c r="M214" s="44"/>
      <c r="N214" s="44"/>
      <c r="O214" s="65">
        <v>4000</v>
      </c>
      <c r="P214" s="167">
        <v>46656</v>
      </c>
      <c r="Q214" s="167">
        <v>46656</v>
      </c>
      <c r="R214" s="343"/>
      <c r="S214" s="346"/>
      <c r="T214" s="349"/>
      <c r="U214" s="352"/>
      <c r="V214" s="63"/>
    </row>
    <row r="215" spans="1:22" s="42" customFormat="1" ht="16.5" customHeight="1" x14ac:dyDescent="0.2">
      <c r="A215" s="479"/>
      <c r="B215" s="357"/>
      <c r="C215" s="359"/>
      <c r="D215" s="361"/>
      <c r="E215" s="363"/>
      <c r="F215" s="488"/>
      <c r="G215" s="169" t="s">
        <v>55</v>
      </c>
      <c r="H215" s="64">
        <f t="shared" si="46"/>
        <v>0</v>
      </c>
      <c r="I215" s="44"/>
      <c r="J215" s="44"/>
      <c r="K215" s="65"/>
      <c r="L215" s="64">
        <f>SUM(M215:O215)</f>
        <v>0</v>
      </c>
      <c r="M215" s="44"/>
      <c r="N215" s="44"/>
      <c r="O215" s="65"/>
      <c r="P215" s="167">
        <v>264381</v>
      </c>
      <c r="Q215" s="167">
        <v>264381</v>
      </c>
      <c r="R215" s="343"/>
      <c r="S215" s="347"/>
      <c r="T215" s="350"/>
      <c r="U215" s="353"/>
      <c r="V215" s="63"/>
    </row>
    <row r="216" spans="1:22" s="42" customFormat="1" ht="19.5" customHeight="1" x14ac:dyDescent="0.2">
      <c r="A216" s="480"/>
      <c r="B216" s="409"/>
      <c r="C216" s="410"/>
      <c r="D216" s="473"/>
      <c r="E216" s="413"/>
      <c r="F216" s="414"/>
      <c r="G216" s="170" t="s">
        <v>12</v>
      </c>
      <c r="H216" s="58">
        <f t="shared" ref="H216:Q216" si="49">SUM(H213:H215)</f>
        <v>73000</v>
      </c>
      <c r="I216" s="59">
        <f t="shared" si="49"/>
        <v>0</v>
      </c>
      <c r="J216" s="59">
        <f t="shared" si="49"/>
        <v>0</v>
      </c>
      <c r="K216" s="60">
        <f t="shared" si="49"/>
        <v>73000</v>
      </c>
      <c r="L216" s="58">
        <f t="shared" si="49"/>
        <v>73000</v>
      </c>
      <c r="M216" s="59">
        <f t="shared" si="49"/>
        <v>0</v>
      </c>
      <c r="N216" s="59">
        <f t="shared" si="49"/>
        <v>0</v>
      </c>
      <c r="O216" s="60">
        <f t="shared" si="49"/>
        <v>73000</v>
      </c>
      <c r="P216" s="83">
        <f t="shared" si="49"/>
        <v>311037</v>
      </c>
      <c r="Q216" s="83">
        <f t="shared" si="49"/>
        <v>311037</v>
      </c>
      <c r="R216" s="343"/>
      <c r="S216" s="58">
        <f>S213</f>
        <v>0</v>
      </c>
      <c r="T216" s="59">
        <f>T213</f>
        <v>0</v>
      </c>
      <c r="U216" s="60">
        <f>U213</f>
        <v>1</v>
      </c>
      <c r="V216" s="63"/>
    </row>
    <row r="217" spans="1:22" s="42" customFormat="1" ht="14.25" customHeight="1" x14ac:dyDescent="0.2">
      <c r="A217" s="354" t="s">
        <v>17</v>
      </c>
      <c r="B217" s="356" t="s">
        <v>20</v>
      </c>
      <c r="C217" s="358">
        <v>9</v>
      </c>
      <c r="D217" s="360" t="s">
        <v>248</v>
      </c>
      <c r="E217" s="362">
        <v>5</v>
      </c>
      <c r="F217" s="364" t="s">
        <v>184</v>
      </c>
      <c r="G217" s="169" t="s">
        <v>102</v>
      </c>
      <c r="H217" s="64">
        <f t="shared" si="46"/>
        <v>482700</v>
      </c>
      <c r="I217" s="44"/>
      <c r="J217" s="44"/>
      <c r="K217" s="65">
        <v>482700</v>
      </c>
      <c r="L217" s="64">
        <f>SUM(M217:O217)</f>
        <v>0</v>
      </c>
      <c r="M217" s="44"/>
      <c r="N217" s="44"/>
      <c r="O217" s="65">
        <v>0</v>
      </c>
      <c r="P217" s="70"/>
      <c r="Q217" s="70"/>
      <c r="R217" s="342" t="s">
        <v>156</v>
      </c>
      <c r="S217" s="345"/>
      <c r="T217" s="348"/>
      <c r="U217" s="351"/>
      <c r="V217" s="63"/>
    </row>
    <row r="218" spans="1:22" s="42" customFormat="1" ht="15.75" customHeight="1" x14ac:dyDescent="0.2">
      <c r="A218" s="355"/>
      <c r="B218" s="357"/>
      <c r="C218" s="359"/>
      <c r="D218" s="361"/>
      <c r="E218" s="363"/>
      <c r="F218" s="488"/>
      <c r="G218" s="169" t="s">
        <v>112</v>
      </c>
      <c r="H218" s="64">
        <f t="shared" si="46"/>
        <v>4000</v>
      </c>
      <c r="I218" s="44"/>
      <c r="J218" s="44"/>
      <c r="K218" s="65">
        <v>4000</v>
      </c>
      <c r="L218" s="64">
        <f>SUM(M218:O218)</f>
        <v>4000</v>
      </c>
      <c r="M218" s="44"/>
      <c r="N218" s="44"/>
      <c r="O218" s="65">
        <v>4000</v>
      </c>
      <c r="P218" s="70">
        <v>4000</v>
      </c>
      <c r="Q218" s="70"/>
      <c r="R218" s="343"/>
      <c r="S218" s="346"/>
      <c r="T218" s="349"/>
      <c r="U218" s="352"/>
      <c r="V218" s="63"/>
    </row>
    <row r="219" spans="1:22" s="42" customFormat="1" ht="15.75" customHeight="1" x14ac:dyDescent="0.2">
      <c r="A219" s="355"/>
      <c r="B219" s="357"/>
      <c r="C219" s="359"/>
      <c r="D219" s="361"/>
      <c r="E219" s="363"/>
      <c r="F219" s="488"/>
      <c r="G219" s="169" t="s">
        <v>55</v>
      </c>
      <c r="H219" s="67">
        <f t="shared" si="46"/>
        <v>0</v>
      </c>
      <c r="I219" s="68"/>
      <c r="J219" s="68"/>
      <c r="K219" s="69">
        <v>0</v>
      </c>
      <c r="L219" s="64">
        <f>SUM(M219:O219)</f>
        <v>0</v>
      </c>
      <c r="M219" s="68"/>
      <c r="N219" s="68"/>
      <c r="O219" s="69">
        <v>0</v>
      </c>
      <c r="P219" s="167"/>
      <c r="Q219" s="167">
        <v>289620</v>
      </c>
      <c r="R219" s="343"/>
      <c r="S219" s="347"/>
      <c r="T219" s="350"/>
      <c r="U219" s="353"/>
      <c r="V219" s="63"/>
    </row>
    <row r="220" spans="1:22" s="42" customFormat="1" ht="24.75" customHeight="1" thickBot="1" x14ac:dyDescent="0.25">
      <c r="A220" s="490"/>
      <c r="B220" s="491"/>
      <c r="C220" s="458"/>
      <c r="D220" s="473"/>
      <c r="E220" s="460"/>
      <c r="F220" s="461"/>
      <c r="G220" s="172" t="s">
        <v>12</v>
      </c>
      <c r="H220" s="84">
        <f t="shared" ref="H220:Q220" si="50">SUM(H217:H219)</f>
        <v>486700</v>
      </c>
      <c r="I220" s="85">
        <f t="shared" si="50"/>
        <v>0</v>
      </c>
      <c r="J220" s="85">
        <f t="shared" si="50"/>
        <v>0</v>
      </c>
      <c r="K220" s="86">
        <f t="shared" si="50"/>
        <v>486700</v>
      </c>
      <c r="L220" s="84">
        <f t="shared" si="50"/>
        <v>4000</v>
      </c>
      <c r="M220" s="85">
        <f t="shared" si="50"/>
        <v>0</v>
      </c>
      <c r="N220" s="85">
        <f t="shared" si="50"/>
        <v>0</v>
      </c>
      <c r="O220" s="86">
        <f t="shared" si="50"/>
        <v>4000</v>
      </c>
      <c r="P220" s="83">
        <f t="shared" si="50"/>
        <v>4000</v>
      </c>
      <c r="Q220" s="83">
        <f t="shared" si="50"/>
        <v>289620</v>
      </c>
      <c r="R220" s="424"/>
      <c r="S220" s="89">
        <f>S217</f>
        <v>0</v>
      </c>
      <c r="T220" s="90">
        <f>T217</f>
        <v>0</v>
      </c>
      <c r="U220" s="91">
        <f>U217</f>
        <v>0</v>
      </c>
      <c r="V220" s="63"/>
    </row>
    <row r="221" spans="1:22" s="42" customFormat="1" ht="14.25" customHeight="1" thickBot="1" x14ac:dyDescent="0.25">
      <c r="A221" s="49" t="s">
        <v>17</v>
      </c>
      <c r="B221" s="50" t="s">
        <v>20</v>
      </c>
      <c r="C221" s="436" t="s">
        <v>13</v>
      </c>
      <c r="D221" s="436"/>
      <c r="E221" s="436"/>
      <c r="F221" s="436"/>
      <c r="G221" s="437"/>
      <c r="H221" s="94">
        <f>H185+H197+H200+H203+H206+H210+H212+H216+H220</f>
        <v>7275366</v>
      </c>
      <c r="I221" s="94">
        <f t="shared" ref="I221:Q221" si="51">I185+I197+I200+I203+I206+I210+I212+I216+I220</f>
        <v>0</v>
      </c>
      <c r="J221" s="94">
        <f t="shared" si="51"/>
        <v>0</v>
      </c>
      <c r="K221" s="94">
        <f t="shared" si="51"/>
        <v>7275366</v>
      </c>
      <c r="L221" s="94">
        <f t="shared" si="51"/>
        <v>372756</v>
      </c>
      <c r="M221" s="94">
        <f t="shared" si="51"/>
        <v>0</v>
      </c>
      <c r="N221" s="94">
        <f t="shared" si="51"/>
        <v>0</v>
      </c>
      <c r="O221" s="263">
        <f t="shared" si="51"/>
        <v>372756</v>
      </c>
      <c r="P221" s="276">
        <f t="shared" si="51"/>
        <v>8731957.31510658</v>
      </c>
      <c r="Q221" s="279">
        <f t="shared" si="51"/>
        <v>8156157.31510658</v>
      </c>
      <c r="R221" s="94" t="s">
        <v>23</v>
      </c>
      <c r="S221" s="50" t="s">
        <v>23</v>
      </c>
      <c r="T221" s="50" t="s">
        <v>23</v>
      </c>
      <c r="U221" s="95" t="s">
        <v>23</v>
      </c>
    </row>
    <row r="222" spans="1:22" s="42" customFormat="1" ht="14.25" customHeight="1" thickBot="1" x14ac:dyDescent="0.25">
      <c r="A222" s="49">
        <v>1</v>
      </c>
      <c r="B222" s="392" t="s">
        <v>14</v>
      </c>
      <c r="C222" s="392"/>
      <c r="D222" s="392"/>
      <c r="E222" s="392"/>
      <c r="F222" s="392"/>
      <c r="G222" s="393"/>
      <c r="H222" s="49">
        <f t="shared" ref="H222:Q222" si="52">H98+H112+H181+H221</f>
        <v>18353992.16</v>
      </c>
      <c r="I222" s="49">
        <f t="shared" si="52"/>
        <v>333392</v>
      </c>
      <c r="J222" s="49">
        <f t="shared" si="52"/>
        <v>0</v>
      </c>
      <c r="K222" s="49">
        <f t="shared" si="52"/>
        <v>18020600.16</v>
      </c>
      <c r="L222" s="49">
        <f t="shared" si="52"/>
        <v>7800127.1600000001</v>
      </c>
      <c r="M222" s="49">
        <f t="shared" si="52"/>
        <v>89004</v>
      </c>
      <c r="N222" s="49">
        <f t="shared" si="52"/>
        <v>0</v>
      </c>
      <c r="O222" s="49">
        <f t="shared" si="52"/>
        <v>7711123.1600000001</v>
      </c>
      <c r="P222" s="49">
        <f t="shared" si="52"/>
        <v>19621050.475106582</v>
      </c>
      <c r="Q222" s="49">
        <f t="shared" si="52"/>
        <v>18637674.315106578</v>
      </c>
      <c r="R222" s="49" t="s">
        <v>23</v>
      </c>
      <c r="S222" s="118" t="s">
        <v>23</v>
      </c>
      <c r="T222" s="118" t="s">
        <v>23</v>
      </c>
      <c r="U222" s="119" t="s">
        <v>23</v>
      </c>
    </row>
    <row r="223" spans="1:22" ht="15" customHeight="1" thickBot="1" x14ac:dyDescent="0.25">
      <c r="A223" s="49" t="s">
        <v>18</v>
      </c>
      <c r="B223" s="481" t="s">
        <v>148</v>
      </c>
      <c r="C223" s="482"/>
      <c r="D223" s="482"/>
      <c r="E223" s="482"/>
      <c r="F223" s="482"/>
      <c r="G223" s="482"/>
      <c r="H223" s="483"/>
      <c r="I223" s="483"/>
      <c r="J223" s="483"/>
      <c r="K223" s="483"/>
      <c r="L223" s="483"/>
      <c r="M223" s="483"/>
      <c r="N223" s="483"/>
      <c r="O223" s="483"/>
      <c r="P223" s="482"/>
      <c r="Q223" s="482"/>
      <c r="R223" s="482"/>
      <c r="S223" s="482"/>
      <c r="T223" s="482"/>
      <c r="U223" s="484"/>
    </row>
    <row r="224" spans="1:22" ht="16.5" customHeight="1" thickBot="1" x14ac:dyDescent="0.25">
      <c r="A224" s="49" t="s">
        <v>18</v>
      </c>
      <c r="B224" s="50" t="s">
        <v>17</v>
      </c>
      <c r="C224" s="485" t="s">
        <v>147</v>
      </c>
      <c r="D224" s="486"/>
      <c r="E224" s="486"/>
      <c r="F224" s="486"/>
      <c r="G224" s="486"/>
      <c r="H224" s="486"/>
      <c r="I224" s="486"/>
      <c r="J224" s="486"/>
      <c r="K224" s="486"/>
      <c r="L224" s="486"/>
      <c r="M224" s="486"/>
      <c r="N224" s="486"/>
      <c r="O224" s="486"/>
      <c r="P224" s="486"/>
      <c r="Q224" s="486"/>
      <c r="R224" s="486"/>
      <c r="S224" s="486"/>
      <c r="T224" s="486"/>
      <c r="U224" s="487"/>
    </row>
    <row r="225" spans="1:22" s="42" customFormat="1" ht="11.25" customHeight="1" x14ac:dyDescent="0.2">
      <c r="A225" s="471" t="s">
        <v>18</v>
      </c>
      <c r="B225" s="409" t="s">
        <v>17</v>
      </c>
      <c r="C225" s="410">
        <v>1</v>
      </c>
      <c r="D225" s="473" t="s">
        <v>82</v>
      </c>
      <c r="E225" s="474">
        <v>4</v>
      </c>
      <c r="F225" s="476" t="s">
        <v>182</v>
      </c>
      <c r="G225" s="168" t="s">
        <v>55</v>
      </c>
      <c r="H225" s="51">
        <f>SUM(I225:K225)</f>
        <v>26743</v>
      </c>
      <c r="I225" s="52"/>
      <c r="J225" s="281"/>
      <c r="K225" s="40">
        <f>ROUND(92337.12/$W$8,0)</f>
        <v>26743</v>
      </c>
      <c r="L225" s="51">
        <f>SUM(M225:O225)</f>
        <v>26743</v>
      </c>
      <c r="M225" s="52"/>
      <c r="N225" s="281"/>
      <c r="O225" s="40">
        <f>ROUND(92337.12/$W$8,0)</f>
        <v>26743</v>
      </c>
      <c r="P225" s="268"/>
      <c r="Q225" s="282"/>
      <c r="R225" s="422" t="s">
        <v>160</v>
      </c>
      <c r="S225" s="465">
        <v>3</v>
      </c>
      <c r="T225" s="467"/>
      <c r="U225" s="469"/>
      <c r="V225" s="63"/>
    </row>
    <row r="226" spans="1:22" s="42" customFormat="1" ht="11.25" customHeight="1" x14ac:dyDescent="0.2">
      <c r="A226" s="454"/>
      <c r="B226" s="456"/>
      <c r="C226" s="472"/>
      <c r="D226" s="463"/>
      <c r="E226" s="475"/>
      <c r="F226" s="477"/>
      <c r="G226" s="169" t="s">
        <v>112</v>
      </c>
      <c r="H226" s="64">
        <f>SUM(I226:K226)</f>
        <v>18088</v>
      </c>
      <c r="I226" s="44"/>
      <c r="J226" s="78"/>
      <c r="K226" s="65">
        <f>ROUND(62455.88/$W$8,0)</f>
        <v>18088</v>
      </c>
      <c r="L226" s="64">
        <f>SUM(M226:O226)</f>
        <v>18088</v>
      </c>
      <c r="M226" s="44"/>
      <c r="N226" s="78"/>
      <c r="O226" s="65">
        <f>ROUND(62455.88/$W$8,0)</f>
        <v>18088</v>
      </c>
      <c r="P226" s="98"/>
      <c r="Q226" s="147"/>
      <c r="R226" s="423"/>
      <c r="S226" s="466"/>
      <c r="T226" s="468"/>
      <c r="U226" s="470"/>
      <c r="V226" s="63"/>
    </row>
    <row r="227" spans="1:22" s="42" customFormat="1" ht="25.5" customHeight="1" x14ac:dyDescent="0.2">
      <c r="A227" s="454"/>
      <c r="B227" s="456"/>
      <c r="C227" s="472"/>
      <c r="D227" s="463"/>
      <c r="E227" s="475"/>
      <c r="F227" s="477"/>
      <c r="G227" s="62" t="s">
        <v>12</v>
      </c>
      <c r="H227" s="58">
        <f>SUM(H225:H226)</f>
        <v>44831</v>
      </c>
      <c r="I227" s="59">
        <f t="shared" ref="I227:Q227" si="53">SUM(I225:I226)</f>
        <v>0</v>
      </c>
      <c r="J227" s="59">
        <f t="shared" si="53"/>
        <v>0</v>
      </c>
      <c r="K227" s="60">
        <f t="shared" si="53"/>
        <v>44831</v>
      </c>
      <c r="L227" s="58">
        <f t="shared" si="53"/>
        <v>44831</v>
      </c>
      <c r="M227" s="59">
        <f t="shared" si="53"/>
        <v>0</v>
      </c>
      <c r="N227" s="59">
        <f t="shared" si="53"/>
        <v>0</v>
      </c>
      <c r="O227" s="60">
        <f t="shared" si="53"/>
        <v>44831</v>
      </c>
      <c r="P227" s="61">
        <f t="shared" si="53"/>
        <v>0</v>
      </c>
      <c r="Q227" s="252">
        <f t="shared" si="53"/>
        <v>0</v>
      </c>
      <c r="R227" s="423"/>
      <c r="S227" s="58">
        <f>SUM(S225)</f>
        <v>3</v>
      </c>
      <c r="T227" s="59">
        <f>SUM(T225)</f>
        <v>0</v>
      </c>
      <c r="U227" s="60">
        <f>SUM(U225)</f>
        <v>0</v>
      </c>
      <c r="V227" s="63"/>
    </row>
    <row r="228" spans="1:22" ht="16.5" customHeight="1" x14ac:dyDescent="0.2">
      <c r="A228" s="454" t="s">
        <v>18</v>
      </c>
      <c r="B228" s="456" t="s">
        <v>17</v>
      </c>
      <c r="C228" s="468">
        <v>2</v>
      </c>
      <c r="D228" s="463" t="s">
        <v>192</v>
      </c>
      <c r="E228" s="464">
        <v>1</v>
      </c>
      <c r="F228" s="398" t="s">
        <v>182</v>
      </c>
      <c r="G228" s="537" t="s">
        <v>55</v>
      </c>
      <c r="H228" s="345">
        <f>SUM(I228:K229)</f>
        <v>9155</v>
      </c>
      <c r="I228" s="385">
        <v>9155</v>
      </c>
      <c r="J228" s="385"/>
      <c r="K228" s="376"/>
      <c r="L228" s="345">
        <f>SUM(M228:O229)</f>
        <v>9155</v>
      </c>
      <c r="M228" s="385">
        <v>9155</v>
      </c>
      <c r="N228" s="385"/>
      <c r="O228" s="376"/>
      <c r="P228" s="420"/>
      <c r="Q228" s="588"/>
      <c r="R228" s="418" t="s">
        <v>153</v>
      </c>
      <c r="S228" s="345">
        <v>85</v>
      </c>
      <c r="T228" s="415"/>
      <c r="U228" s="376"/>
      <c r="V228" s="57"/>
    </row>
    <row r="229" spans="1:22" ht="6" customHeight="1" x14ac:dyDescent="0.2">
      <c r="A229" s="454"/>
      <c r="B229" s="456"/>
      <c r="C229" s="468"/>
      <c r="D229" s="463"/>
      <c r="E229" s="464"/>
      <c r="F229" s="399"/>
      <c r="G229" s="538"/>
      <c r="H229" s="347"/>
      <c r="I229" s="387"/>
      <c r="J229" s="387"/>
      <c r="K229" s="378"/>
      <c r="L229" s="347"/>
      <c r="M229" s="387"/>
      <c r="N229" s="387"/>
      <c r="O229" s="378"/>
      <c r="P229" s="421"/>
      <c r="Q229" s="589"/>
      <c r="R229" s="418"/>
      <c r="S229" s="346"/>
      <c r="T229" s="416"/>
      <c r="U229" s="377"/>
      <c r="V229" s="57"/>
    </row>
    <row r="230" spans="1:22" ht="23.25" customHeight="1" x14ac:dyDescent="0.2">
      <c r="A230" s="454"/>
      <c r="B230" s="456"/>
      <c r="C230" s="468"/>
      <c r="D230" s="463"/>
      <c r="E230" s="464"/>
      <c r="F230" s="399"/>
      <c r="G230" s="169" t="s">
        <v>258</v>
      </c>
      <c r="H230" s="64">
        <f>SUM(I230:K230)</f>
        <v>11916</v>
      </c>
      <c r="I230" s="44">
        <f>10300+1616</f>
        <v>11916</v>
      </c>
      <c r="J230" s="44"/>
      <c r="K230" s="65"/>
      <c r="L230" s="64">
        <f>SUM(M230:O230)</f>
        <v>0</v>
      </c>
      <c r="M230" s="44">
        <v>0</v>
      </c>
      <c r="N230" s="44"/>
      <c r="O230" s="65"/>
      <c r="P230" s="145"/>
      <c r="Q230" s="100"/>
      <c r="R230" s="418"/>
      <c r="S230" s="347"/>
      <c r="T230" s="417"/>
      <c r="U230" s="378"/>
      <c r="V230" s="57"/>
    </row>
    <row r="231" spans="1:22" s="42" customFormat="1" ht="14.25" customHeight="1" x14ac:dyDescent="0.2">
      <c r="A231" s="454"/>
      <c r="B231" s="456"/>
      <c r="C231" s="468"/>
      <c r="D231" s="463"/>
      <c r="E231" s="464"/>
      <c r="F231" s="399"/>
      <c r="G231" s="170" t="s">
        <v>12</v>
      </c>
      <c r="H231" s="58">
        <f>SUM(H228:H230)</f>
        <v>21071</v>
      </c>
      <c r="I231" s="59">
        <f t="shared" ref="I231:Q231" si="54">SUM(I228:I230)</f>
        <v>21071</v>
      </c>
      <c r="J231" s="59">
        <f t="shared" si="54"/>
        <v>0</v>
      </c>
      <c r="K231" s="60">
        <f t="shared" si="54"/>
        <v>0</v>
      </c>
      <c r="L231" s="58">
        <f t="shared" si="54"/>
        <v>9155</v>
      </c>
      <c r="M231" s="59">
        <f t="shared" si="54"/>
        <v>9155</v>
      </c>
      <c r="N231" s="59">
        <f t="shared" si="54"/>
        <v>0</v>
      </c>
      <c r="O231" s="60">
        <f t="shared" si="54"/>
        <v>0</v>
      </c>
      <c r="P231" s="61">
        <f t="shared" si="54"/>
        <v>0</v>
      </c>
      <c r="Q231" s="252">
        <f t="shared" si="54"/>
        <v>0</v>
      </c>
      <c r="R231" s="418"/>
      <c r="S231" s="58">
        <f>SUM(S228)</f>
        <v>85</v>
      </c>
      <c r="T231" s="59">
        <f>SUM(T228)</f>
        <v>0</v>
      </c>
      <c r="U231" s="60">
        <f>SUM(U228)</f>
        <v>0</v>
      </c>
      <c r="V231" s="63"/>
    </row>
    <row r="232" spans="1:22" ht="23.25" customHeight="1" x14ac:dyDescent="0.2">
      <c r="A232" s="454" t="s">
        <v>18</v>
      </c>
      <c r="B232" s="456" t="s">
        <v>17</v>
      </c>
      <c r="C232" s="462">
        <v>3</v>
      </c>
      <c r="D232" s="463" t="s">
        <v>260</v>
      </c>
      <c r="E232" s="464">
        <v>1</v>
      </c>
      <c r="F232" s="398" t="s">
        <v>189</v>
      </c>
      <c r="G232" s="169" t="s">
        <v>84</v>
      </c>
      <c r="H232" s="64">
        <f>SUM(I232,K232)</f>
        <v>193148</v>
      </c>
      <c r="I232" s="44"/>
      <c r="J232" s="44"/>
      <c r="K232" s="65">
        <v>193148</v>
      </c>
      <c r="L232" s="64">
        <f>SUM(M232,O232)</f>
        <v>1936</v>
      </c>
      <c r="M232" s="44"/>
      <c r="N232" s="44"/>
      <c r="O232" s="65">
        <v>1936</v>
      </c>
      <c r="P232" s="66"/>
      <c r="Q232" s="100"/>
      <c r="R232" s="418" t="s">
        <v>158</v>
      </c>
      <c r="S232" s="67">
        <v>1</v>
      </c>
      <c r="T232" s="87"/>
      <c r="U232" s="69"/>
      <c r="V232" s="57"/>
    </row>
    <row r="233" spans="1:22" ht="23.25" customHeight="1" x14ac:dyDescent="0.2">
      <c r="A233" s="454"/>
      <c r="B233" s="456"/>
      <c r="C233" s="462"/>
      <c r="D233" s="463"/>
      <c r="E233" s="464"/>
      <c r="F233" s="398"/>
      <c r="G233" s="169" t="s">
        <v>112</v>
      </c>
      <c r="H233" s="64">
        <f>SUM(I233,K233)</f>
        <v>0</v>
      </c>
      <c r="I233" s="44"/>
      <c r="J233" s="44"/>
      <c r="K233" s="65"/>
      <c r="L233" s="64">
        <f>SUM(M233:O233)</f>
        <v>0</v>
      </c>
      <c r="M233" s="44"/>
      <c r="N233" s="44"/>
      <c r="O233" s="65"/>
      <c r="P233" s="99"/>
      <c r="Q233" s="100"/>
      <c r="R233" s="418"/>
      <c r="S233" s="67"/>
      <c r="T233" s="87"/>
      <c r="U233" s="69"/>
      <c r="V233" s="57"/>
    </row>
    <row r="234" spans="1:22" ht="23.25" customHeight="1" x14ac:dyDescent="0.2">
      <c r="A234" s="454"/>
      <c r="B234" s="456"/>
      <c r="C234" s="462"/>
      <c r="D234" s="463"/>
      <c r="E234" s="464"/>
      <c r="F234" s="398"/>
      <c r="G234" s="169" t="s">
        <v>55</v>
      </c>
      <c r="H234" s="64">
        <f>SUM(I234,K234)</f>
        <v>129532</v>
      </c>
      <c r="I234" s="44"/>
      <c r="J234" s="44"/>
      <c r="K234" s="65">
        <v>129532</v>
      </c>
      <c r="L234" s="64">
        <f>SUM(M234:O234)</f>
        <v>0</v>
      </c>
      <c r="M234" s="44"/>
      <c r="N234" s="44"/>
      <c r="O234" s="65"/>
      <c r="P234" s="99"/>
      <c r="Q234" s="100"/>
      <c r="R234" s="418"/>
      <c r="S234" s="67"/>
      <c r="T234" s="87"/>
      <c r="U234" s="69"/>
      <c r="V234" s="57"/>
    </row>
    <row r="235" spans="1:22" s="42" customFormat="1" ht="31.5" customHeight="1" x14ac:dyDescent="0.2">
      <c r="A235" s="454"/>
      <c r="B235" s="456"/>
      <c r="C235" s="462"/>
      <c r="D235" s="463"/>
      <c r="E235" s="464"/>
      <c r="F235" s="399"/>
      <c r="G235" s="170" t="s">
        <v>12</v>
      </c>
      <c r="H235" s="58">
        <f>SUM(H232:H234)</f>
        <v>322680</v>
      </c>
      <c r="I235" s="59">
        <f t="shared" ref="I235:Q235" si="55">SUM(I232:I234)</f>
        <v>0</v>
      </c>
      <c r="J235" s="59">
        <f t="shared" si="55"/>
        <v>0</v>
      </c>
      <c r="K235" s="60">
        <f t="shared" si="55"/>
        <v>322680</v>
      </c>
      <c r="L235" s="58">
        <f t="shared" si="55"/>
        <v>1936</v>
      </c>
      <c r="M235" s="59">
        <f t="shared" si="55"/>
        <v>0</v>
      </c>
      <c r="N235" s="59">
        <f t="shared" si="55"/>
        <v>0</v>
      </c>
      <c r="O235" s="60">
        <f t="shared" si="55"/>
        <v>1936</v>
      </c>
      <c r="P235" s="61">
        <f t="shared" si="55"/>
        <v>0</v>
      </c>
      <c r="Q235" s="252">
        <f t="shared" si="55"/>
        <v>0</v>
      </c>
      <c r="R235" s="418"/>
      <c r="S235" s="58">
        <f>SUM(S232:S232)</f>
        <v>1</v>
      </c>
      <c r="T235" s="59">
        <f>SUM(T232:T232)</f>
        <v>0</v>
      </c>
      <c r="U235" s="60">
        <f>SUM(U232:U232)</f>
        <v>0</v>
      </c>
      <c r="V235" s="63"/>
    </row>
    <row r="236" spans="1:22" ht="15" customHeight="1" x14ac:dyDescent="0.2">
      <c r="A236" s="454" t="s">
        <v>18</v>
      </c>
      <c r="B236" s="456" t="s">
        <v>17</v>
      </c>
      <c r="C236" s="462">
        <v>4</v>
      </c>
      <c r="D236" s="463" t="s">
        <v>79</v>
      </c>
      <c r="E236" s="464">
        <v>4</v>
      </c>
      <c r="F236" s="398" t="s">
        <v>182</v>
      </c>
      <c r="G236" s="169" t="s">
        <v>112</v>
      </c>
      <c r="H236" s="64">
        <f>SUM(I236:K236)</f>
        <v>1393</v>
      </c>
      <c r="I236" s="44"/>
      <c r="J236" s="44"/>
      <c r="K236" s="65">
        <f>ROUND(4810/3.4528,0)</f>
        <v>1393</v>
      </c>
      <c r="L236" s="64">
        <f>SUM(M236:O236)</f>
        <v>1393</v>
      </c>
      <c r="M236" s="44"/>
      <c r="N236" s="44"/>
      <c r="O236" s="65">
        <v>1393</v>
      </c>
      <c r="P236" s="66"/>
      <c r="Q236" s="100"/>
      <c r="R236" s="418" t="s">
        <v>155</v>
      </c>
      <c r="S236" s="425">
        <v>1</v>
      </c>
      <c r="T236" s="419"/>
      <c r="U236" s="369"/>
      <c r="V236" s="57"/>
    </row>
    <row r="237" spans="1:22" ht="14.25" customHeight="1" x14ac:dyDescent="0.2">
      <c r="A237" s="454"/>
      <c r="B237" s="456"/>
      <c r="C237" s="462"/>
      <c r="D237" s="463"/>
      <c r="E237" s="464"/>
      <c r="F237" s="399"/>
      <c r="G237" s="169" t="s">
        <v>55</v>
      </c>
      <c r="H237" s="64">
        <f>SUM(I237:K237)</f>
        <v>7894</v>
      </c>
      <c r="I237" s="44"/>
      <c r="J237" s="44"/>
      <c r="K237" s="65">
        <f>ROUND(27255/3.4528,0)</f>
        <v>7894</v>
      </c>
      <c r="L237" s="64">
        <f>SUM(M237:O237)</f>
        <v>7894</v>
      </c>
      <c r="M237" s="44"/>
      <c r="N237" s="44"/>
      <c r="O237" s="65">
        <v>7894</v>
      </c>
      <c r="P237" s="66"/>
      <c r="Q237" s="100"/>
      <c r="R237" s="418"/>
      <c r="S237" s="425"/>
      <c r="T237" s="419"/>
      <c r="U237" s="369"/>
      <c r="V237" s="57"/>
    </row>
    <row r="238" spans="1:22" s="42" customFormat="1" ht="16.5" customHeight="1" x14ac:dyDescent="0.2">
      <c r="A238" s="454"/>
      <c r="B238" s="456"/>
      <c r="C238" s="462"/>
      <c r="D238" s="463"/>
      <c r="E238" s="464"/>
      <c r="F238" s="399"/>
      <c r="G238" s="170" t="s">
        <v>12</v>
      </c>
      <c r="H238" s="58">
        <f>SUM(H236:H237)</f>
        <v>9287</v>
      </c>
      <c r="I238" s="59">
        <f t="shared" ref="I238:Q238" si="56">SUM(I236:I237)</f>
        <v>0</v>
      </c>
      <c r="J238" s="59">
        <f t="shared" si="56"/>
        <v>0</v>
      </c>
      <c r="K238" s="60">
        <f t="shared" si="56"/>
        <v>9287</v>
      </c>
      <c r="L238" s="58">
        <f t="shared" si="56"/>
        <v>9287</v>
      </c>
      <c r="M238" s="59">
        <f t="shared" si="56"/>
        <v>0</v>
      </c>
      <c r="N238" s="59">
        <f t="shared" si="56"/>
        <v>0</v>
      </c>
      <c r="O238" s="60">
        <f t="shared" si="56"/>
        <v>9287</v>
      </c>
      <c r="P238" s="61">
        <f t="shared" si="56"/>
        <v>0</v>
      </c>
      <c r="Q238" s="252">
        <f t="shared" si="56"/>
        <v>0</v>
      </c>
      <c r="R238" s="418"/>
      <c r="S238" s="58">
        <f>SUM(S236:S237)</f>
        <v>1</v>
      </c>
      <c r="T238" s="59">
        <f>SUM(T236:T237)</f>
        <v>0</v>
      </c>
      <c r="U238" s="60">
        <f>SUM(U236:U237)</f>
        <v>0</v>
      </c>
      <c r="V238" s="63"/>
    </row>
    <row r="239" spans="1:22" s="42" customFormat="1" ht="16.5" customHeight="1" x14ac:dyDescent="0.2">
      <c r="A239" s="354" t="s">
        <v>18</v>
      </c>
      <c r="B239" s="356" t="s">
        <v>17</v>
      </c>
      <c r="C239" s="358">
        <v>5</v>
      </c>
      <c r="D239" s="360" t="s">
        <v>83</v>
      </c>
      <c r="E239" s="362">
        <v>6</v>
      </c>
      <c r="F239" s="364" t="s">
        <v>182</v>
      </c>
      <c r="G239" s="169" t="s">
        <v>112</v>
      </c>
      <c r="H239" s="64">
        <f>SUM(I239,K239)</f>
        <v>115000</v>
      </c>
      <c r="I239" s="44"/>
      <c r="J239" s="44"/>
      <c r="K239" s="65">
        <v>115000</v>
      </c>
      <c r="L239" s="64">
        <f>SUM(M239,O239)</f>
        <v>22590</v>
      </c>
      <c r="M239" s="72"/>
      <c r="N239" s="72"/>
      <c r="O239" s="65">
        <f>ROUND(78000/3.4528,0)</f>
        <v>22590</v>
      </c>
      <c r="P239" s="74"/>
      <c r="Q239" s="283"/>
      <c r="R239" s="342" t="s">
        <v>157</v>
      </c>
      <c r="S239" s="345">
        <v>1</v>
      </c>
      <c r="T239" s="348"/>
      <c r="U239" s="351"/>
      <c r="V239" s="63"/>
    </row>
    <row r="240" spans="1:22" ht="14.25" customHeight="1" x14ac:dyDescent="0.2">
      <c r="A240" s="355"/>
      <c r="B240" s="357"/>
      <c r="C240" s="359"/>
      <c r="D240" s="361"/>
      <c r="E240" s="363"/>
      <c r="F240" s="365"/>
      <c r="G240" s="169" t="s">
        <v>55</v>
      </c>
      <c r="H240" s="64">
        <f>SUM(I240,K240)</f>
        <v>127433</v>
      </c>
      <c r="I240" s="44"/>
      <c r="J240" s="44"/>
      <c r="K240" s="65">
        <f>ROUND(440000/3.4528,0)</f>
        <v>127433</v>
      </c>
      <c r="L240" s="64">
        <f>SUM(M240,O240)</f>
        <v>127433</v>
      </c>
      <c r="M240" s="44"/>
      <c r="N240" s="44"/>
      <c r="O240" s="65">
        <f>ROUND(440000/3.4528,0)</f>
        <v>127433</v>
      </c>
      <c r="P240" s="66"/>
      <c r="Q240" s="100"/>
      <c r="R240" s="343"/>
      <c r="S240" s="346"/>
      <c r="T240" s="349"/>
      <c r="U240" s="352"/>
      <c r="V240" s="57"/>
    </row>
    <row r="241" spans="1:22" ht="14.25" customHeight="1" x14ac:dyDescent="0.2">
      <c r="A241" s="355"/>
      <c r="B241" s="357"/>
      <c r="C241" s="359"/>
      <c r="D241" s="361"/>
      <c r="E241" s="363"/>
      <c r="F241" s="365"/>
      <c r="G241" s="165" t="s">
        <v>258</v>
      </c>
      <c r="H241" s="64">
        <f>SUM(I241,K241)</f>
        <v>1000</v>
      </c>
      <c r="I241" s="44"/>
      <c r="J241" s="44"/>
      <c r="K241" s="65">
        <v>1000</v>
      </c>
      <c r="L241" s="64">
        <f>SUM(M241,O241)</f>
        <v>1000</v>
      </c>
      <c r="M241" s="44"/>
      <c r="N241" s="44"/>
      <c r="O241" s="65">
        <v>1000</v>
      </c>
      <c r="P241" s="99"/>
      <c r="Q241" s="100"/>
      <c r="R241" s="343"/>
      <c r="S241" s="347"/>
      <c r="T241" s="350"/>
      <c r="U241" s="353"/>
      <c r="V241" s="57"/>
    </row>
    <row r="242" spans="1:22" s="42" customFormat="1" ht="16.5" customHeight="1" x14ac:dyDescent="0.2">
      <c r="A242" s="355"/>
      <c r="B242" s="357"/>
      <c r="C242" s="359"/>
      <c r="D242" s="361"/>
      <c r="E242" s="363"/>
      <c r="F242" s="365"/>
      <c r="G242" s="173" t="s">
        <v>12</v>
      </c>
      <c r="H242" s="58">
        <f>SUM(H239:H241)</f>
        <v>243433</v>
      </c>
      <c r="I242" s="59">
        <f t="shared" ref="I242:Q242" si="57">SUM(I239:I241)</f>
        <v>0</v>
      </c>
      <c r="J242" s="59">
        <f t="shared" si="57"/>
        <v>0</v>
      </c>
      <c r="K242" s="60">
        <f t="shared" si="57"/>
        <v>243433</v>
      </c>
      <c r="L242" s="58">
        <f t="shared" si="57"/>
        <v>151023</v>
      </c>
      <c r="M242" s="59">
        <f t="shared" si="57"/>
        <v>0</v>
      </c>
      <c r="N242" s="59">
        <f t="shared" si="57"/>
        <v>0</v>
      </c>
      <c r="O242" s="60">
        <f t="shared" si="57"/>
        <v>151023</v>
      </c>
      <c r="P242" s="61">
        <f t="shared" si="57"/>
        <v>0</v>
      </c>
      <c r="Q242" s="252">
        <f t="shared" si="57"/>
        <v>0</v>
      </c>
      <c r="R242" s="344"/>
      <c r="S242" s="58">
        <f>SUM(S239)</f>
        <v>1</v>
      </c>
      <c r="T242" s="59">
        <f>SUM(T239)</f>
        <v>0</v>
      </c>
      <c r="U242" s="60">
        <f>SUM(U239)</f>
        <v>0</v>
      </c>
      <c r="V242" s="63"/>
    </row>
    <row r="243" spans="1:22" s="42" customFormat="1" ht="16.5" customHeight="1" x14ac:dyDescent="0.2">
      <c r="A243" s="354">
        <v>2</v>
      </c>
      <c r="B243" s="356">
        <v>1</v>
      </c>
      <c r="C243" s="358">
        <v>6</v>
      </c>
      <c r="D243" s="360" t="s">
        <v>259</v>
      </c>
      <c r="E243" s="362">
        <v>9</v>
      </c>
      <c r="F243" s="364" t="s">
        <v>250</v>
      </c>
      <c r="G243" s="169" t="s">
        <v>112</v>
      </c>
      <c r="H243" s="64">
        <f>SUM(I243,K243)</f>
        <v>2000</v>
      </c>
      <c r="I243" s="44"/>
      <c r="J243" s="44"/>
      <c r="K243" s="65">
        <v>2000</v>
      </c>
      <c r="L243" s="64">
        <f>SUM(M243,O243)</f>
        <v>2000</v>
      </c>
      <c r="M243" s="72"/>
      <c r="N243" s="72"/>
      <c r="O243" s="65">
        <v>2000</v>
      </c>
      <c r="P243" s="66">
        <v>8555</v>
      </c>
      <c r="Q243" s="283">
        <v>0</v>
      </c>
      <c r="R243" s="342" t="s">
        <v>251</v>
      </c>
      <c r="S243" s="345"/>
      <c r="T243" s="385">
        <v>1</v>
      </c>
      <c r="U243" s="351"/>
      <c r="V243" s="63"/>
    </row>
    <row r="244" spans="1:22" s="42" customFormat="1" ht="16.5" customHeight="1" x14ac:dyDescent="0.2">
      <c r="A244" s="355"/>
      <c r="B244" s="357"/>
      <c r="C244" s="359"/>
      <c r="D244" s="361"/>
      <c r="E244" s="363"/>
      <c r="F244" s="365"/>
      <c r="G244" s="169" t="s">
        <v>55</v>
      </c>
      <c r="H244" s="64">
        <f>SUM(I244,K244)</f>
        <v>0</v>
      </c>
      <c r="I244" s="44"/>
      <c r="J244" s="44"/>
      <c r="K244" s="65"/>
      <c r="L244" s="64">
        <f>SUM(M244,O244)</f>
        <v>0</v>
      </c>
      <c r="M244" s="44"/>
      <c r="N244" s="44"/>
      <c r="O244" s="65"/>
      <c r="P244" s="66">
        <f>ROUND(167380/3.4528,0)</f>
        <v>48477</v>
      </c>
      <c r="Q244" s="100">
        <v>0</v>
      </c>
      <c r="R244" s="343"/>
      <c r="S244" s="346"/>
      <c r="T244" s="386"/>
      <c r="U244" s="352"/>
      <c r="V244" s="63"/>
    </row>
    <row r="245" spans="1:22" s="42" customFormat="1" ht="16.5" customHeight="1" x14ac:dyDescent="0.2">
      <c r="A245" s="355"/>
      <c r="B245" s="357"/>
      <c r="C245" s="359"/>
      <c r="D245" s="361"/>
      <c r="E245" s="363"/>
      <c r="F245" s="365"/>
      <c r="G245" s="165" t="s">
        <v>84</v>
      </c>
      <c r="H245" s="64">
        <f>SUM(I245,K245)</f>
        <v>289620</v>
      </c>
      <c r="I245" s="68"/>
      <c r="J245" s="68"/>
      <c r="K245" s="69">
        <v>289620</v>
      </c>
      <c r="L245" s="64">
        <f>SUM(M245,O245)</f>
        <v>0</v>
      </c>
      <c r="M245" s="68"/>
      <c r="N245" s="68"/>
      <c r="O245" s="69"/>
      <c r="P245" s="143"/>
      <c r="Q245" s="144"/>
      <c r="R245" s="343"/>
      <c r="S245" s="347"/>
      <c r="T245" s="387"/>
      <c r="U245" s="353"/>
      <c r="V245" s="63"/>
    </row>
    <row r="246" spans="1:22" s="42" customFormat="1" ht="16.5" customHeight="1" x14ac:dyDescent="0.2">
      <c r="A246" s="355"/>
      <c r="B246" s="357"/>
      <c r="C246" s="359"/>
      <c r="D246" s="361"/>
      <c r="E246" s="363"/>
      <c r="F246" s="365"/>
      <c r="G246" s="173" t="s">
        <v>12</v>
      </c>
      <c r="H246" s="84">
        <f t="shared" ref="H246:Q246" si="58">SUM(H243:H245)</f>
        <v>291620</v>
      </c>
      <c r="I246" s="85">
        <f t="shared" si="58"/>
        <v>0</v>
      </c>
      <c r="J246" s="85">
        <f t="shared" si="58"/>
        <v>0</v>
      </c>
      <c r="K246" s="86">
        <f t="shared" si="58"/>
        <v>291620</v>
      </c>
      <c r="L246" s="84">
        <f t="shared" si="58"/>
        <v>2000</v>
      </c>
      <c r="M246" s="85">
        <f t="shared" si="58"/>
        <v>0</v>
      </c>
      <c r="N246" s="85">
        <f t="shared" si="58"/>
        <v>0</v>
      </c>
      <c r="O246" s="86">
        <f t="shared" si="58"/>
        <v>2000</v>
      </c>
      <c r="P246" s="82">
        <f t="shared" si="58"/>
        <v>57032</v>
      </c>
      <c r="Q246" s="278">
        <f t="shared" si="58"/>
        <v>0</v>
      </c>
      <c r="R246" s="343"/>
      <c r="S246" s="84">
        <f>SUM(S243)</f>
        <v>0</v>
      </c>
      <c r="T246" s="85">
        <f>SUM(T243)</f>
        <v>1</v>
      </c>
      <c r="U246" s="86">
        <f>SUM(U243)</f>
        <v>0</v>
      </c>
      <c r="V246" s="63"/>
    </row>
    <row r="247" spans="1:22" ht="50.25" hidden="1" customHeight="1" outlineLevel="1" x14ac:dyDescent="0.2">
      <c r="A247" s="44">
        <v>2</v>
      </c>
      <c r="B247" s="44">
        <v>1</v>
      </c>
      <c r="C247" s="164" t="s">
        <v>319</v>
      </c>
      <c r="D247" s="142" t="s">
        <v>320</v>
      </c>
      <c r="E247" s="140"/>
      <c r="F247" s="277"/>
      <c r="G247" s="280" t="s">
        <v>84</v>
      </c>
      <c r="H247" s="186">
        <f>SUM(I247,K247)</f>
        <v>289620</v>
      </c>
      <c r="I247" s="178"/>
      <c r="J247" s="178"/>
      <c r="K247" s="191">
        <v>289620</v>
      </c>
      <c r="L247" s="186"/>
      <c r="M247" s="178"/>
      <c r="N247" s="178"/>
      <c r="O247" s="191"/>
      <c r="P247" s="196"/>
      <c r="Q247" s="265"/>
      <c r="R247" s="262"/>
      <c r="S247" s="186"/>
      <c r="T247" s="178"/>
      <c r="U247" s="191"/>
      <c r="V247" s="57"/>
    </row>
    <row r="248" spans="1:22" s="42" customFormat="1" ht="16.5" customHeight="1" collapsed="1" x14ac:dyDescent="0.2">
      <c r="A248" s="354">
        <v>2</v>
      </c>
      <c r="B248" s="356">
        <v>1</v>
      </c>
      <c r="C248" s="358">
        <v>7</v>
      </c>
      <c r="D248" s="360" t="s">
        <v>252</v>
      </c>
      <c r="E248" s="362">
        <v>9</v>
      </c>
      <c r="F248" s="364" t="s">
        <v>250</v>
      </c>
      <c r="G248" s="169" t="s">
        <v>112</v>
      </c>
      <c r="H248" s="64">
        <f>SUM(I248,K248)</f>
        <v>0</v>
      </c>
      <c r="I248" s="44"/>
      <c r="J248" s="44"/>
      <c r="K248" s="65"/>
      <c r="L248" s="64">
        <f>SUM(M248,O248)</f>
        <v>0</v>
      </c>
      <c r="M248" s="72"/>
      <c r="N248" s="72"/>
      <c r="O248" s="65"/>
      <c r="P248" s="66">
        <v>17990</v>
      </c>
      <c r="Q248" s="283"/>
      <c r="R248" s="342" t="s">
        <v>251</v>
      </c>
      <c r="S248" s="345"/>
      <c r="T248" s="385">
        <v>1</v>
      </c>
      <c r="U248" s="351"/>
      <c r="V248" s="63"/>
    </row>
    <row r="249" spans="1:22" s="42" customFormat="1" ht="16.5" customHeight="1" x14ac:dyDescent="0.2">
      <c r="A249" s="355"/>
      <c r="B249" s="357"/>
      <c r="C249" s="359"/>
      <c r="D249" s="361"/>
      <c r="E249" s="363"/>
      <c r="F249" s="365"/>
      <c r="G249" s="169" t="s">
        <v>55</v>
      </c>
      <c r="H249" s="64">
        <f>SUM(I249,K249)</f>
        <v>0</v>
      </c>
      <c r="I249" s="44"/>
      <c r="J249" s="44"/>
      <c r="K249" s="65"/>
      <c r="L249" s="64">
        <f>SUM(M249,O249)</f>
        <v>0</v>
      </c>
      <c r="M249" s="44"/>
      <c r="N249" s="44"/>
      <c r="O249" s="65"/>
      <c r="P249" s="66">
        <f>ROUND(352000/3.4528,0)</f>
        <v>101946</v>
      </c>
      <c r="Q249" s="100"/>
      <c r="R249" s="343"/>
      <c r="S249" s="347"/>
      <c r="T249" s="387"/>
      <c r="U249" s="353"/>
      <c r="V249" s="63"/>
    </row>
    <row r="250" spans="1:22" s="42" customFormat="1" ht="16.5" customHeight="1" x14ac:dyDescent="0.2">
      <c r="A250" s="355"/>
      <c r="B250" s="357"/>
      <c r="C250" s="359"/>
      <c r="D250" s="361"/>
      <c r="E250" s="363"/>
      <c r="F250" s="365"/>
      <c r="G250" s="173" t="s">
        <v>12</v>
      </c>
      <c r="H250" s="58">
        <f>SUM(H248:H249)</f>
        <v>0</v>
      </c>
      <c r="I250" s="59">
        <f t="shared" ref="I250:Q250" si="59">SUM(I248:I249)</f>
        <v>0</v>
      </c>
      <c r="J250" s="59">
        <f t="shared" si="59"/>
        <v>0</v>
      </c>
      <c r="K250" s="60">
        <f t="shared" si="59"/>
        <v>0</v>
      </c>
      <c r="L250" s="58">
        <f t="shared" si="59"/>
        <v>0</v>
      </c>
      <c r="M250" s="59">
        <f t="shared" si="59"/>
        <v>0</v>
      </c>
      <c r="N250" s="59">
        <f t="shared" si="59"/>
        <v>0</v>
      </c>
      <c r="O250" s="60">
        <f t="shared" si="59"/>
        <v>0</v>
      </c>
      <c r="P250" s="61">
        <f t="shared" si="59"/>
        <v>119936</v>
      </c>
      <c r="Q250" s="252">
        <f t="shared" si="59"/>
        <v>0</v>
      </c>
      <c r="R250" s="344"/>
      <c r="S250" s="58">
        <f>SUM(S248)</f>
        <v>0</v>
      </c>
      <c r="T250" s="59">
        <f>SUM(T248)</f>
        <v>1</v>
      </c>
      <c r="U250" s="60">
        <f>SUM(U248)</f>
        <v>0</v>
      </c>
      <c r="V250" s="63"/>
    </row>
    <row r="251" spans="1:22" s="42" customFormat="1" ht="16.5" customHeight="1" x14ac:dyDescent="0.2">
      <c r="A251" s="354">
        <v>2</v>
      </c>
      <c r="B251" s="356">
        <v>1</v>
      </c>
      <c r="C251" s="358">
        <v>8</v>
      </c>
      <c r="D251" s="360" t="s">
        <v>265</v>
      </c>
      <c r="E251" s="362">
        <v>7</v>
      </c>
      <c r="F251" s="364" t="s">
        <v>335</v>
      </c>
      <c r="G251" s="169" t="s">
        <v>112</v>
      </c>
      <c r="H251" s="64">
        <f>SUM(I251,K251)</f>
        <v>0</v>
      </c>
      <c r="I251" s="44"/>
      <c r="J251" s="44"/>
      <c r="K251" s="65"/>
      <c r="L251" s="64">
        <f>SUM(M251,O251)</f>
        <v>0</v>
      </c>
      <c r="M251" s="72"/>
      <c r="N251" s="72"/>
      <c r="O251" s="65"/>
      <c r="P251" s="66">
        <v>26875</v>
      </c>
      <c r="Q251" s="283"/>
      <c r="R251" s="342" t="s">
        <v>251</v>
      </c>
      <c r="S251" s="345"/>
      <c r="T251" s="385">
        <v>1</v>
      </c>
      <c r="U251" s="351"/>
      <c r="V251" s="63"/>
    </row>
    <row r="252" spans="1:22" s="42" customFormat="1" ht="16.5" customHeight="1" x14ac:dyDescent="0.2">
      <c r="A252" s="355"/>
      <c r="B252" s="357"/>
      <c r="C252" s="359"/>
      <c r="D252" s="361"/>
      <c r="E252" s="363"/>
      <c r="F252" s="365"/>
      <c r="G252" s="169" t="s">
        <v>55</v>
      </c>
      <c r="H252" s="64">
        <f>SUM(I252,K252)</f>
        <v>101367</v>
      </c>
      <c r="I252" s="44"/>
      <c r="J252" s="44"/>
      <c r="K252" s="65">
        <f>ROUND(350000/3.4528,0)</f>
        <v>101367</v>
      </c>
      <c r="L252" s="64">
        <f>SUM(M252,O252)</f>
        <v>0</v>
      </c>
      <c r="M252" s="44"/>
      <c r="N252" s="44"/>
      <c r="O252" s="65"/>
      <c r="P252" s="66">
        <f>ROUND(525830/3.4528,0)</f>
        <v>152291</v>
      </c>
      <c r="Q252" s="100"/>
      <c r="R252" s="343"/>
      <c r="S252" s="347"/>
      <c r="T252" s="387"/>
      <c r="U252" s="353"/>
      <c r="V252" s="63"/>
    </row>
    <row r="253" spans="1:22" s="42" customFormat="1" ht="16.5" customHeight="1" x14ac:dyDescent="0.2">
      <c r="A253" s="355"/>
      <c r="B253" s="357"/>
      <c r="C253" s="359"/>
      <c r="D253" s="361"/>
      <c r="E253" s="363"/>
      <c r="F253" s="365"/>
      <c r="G253" s="173" t="s">
        <v>12</v>
      </c>
      <c r="H253" s="58">
        <f>SUM(H251:H252)</f>
        <v>101367</v>
      </c>
      <c r="I253" s="59">
        <f t="shared" ref="I253:Q253" si="60">SUM(I251:I252)</f>
        <v>0</v>
      </c>
      <c r="J253" s="59">
        <f t="shared" si="60"/>
        <v>0</v>
      </c>
      <c r="K253" s="60">
        <f t="shared" si="60"/>
        <v>101367</v>
      </c>
      <c r="L253" s="58">
        <f t="shared" si="60"/>
        <v>0</v>
      </c>
      <c r="M253" s="59">
        <f t="shared" si="60"/>
        <v>0</v>
      </c>
      <c r="N253" s="59">
        <f t="shared" si="60"/>
        <v>0</v>
      </c>
      <c r="O253" s="60">
        <f t="shared" si="60"/>
        <v>0</v>
      </c>
      <c r="P253" s="61">
        <f t="shared" si="60"/>
        <v>179166</v>
      </c>
      <c r="Q253" s="252">
        <f t="shared" si="60"/>
        <v>0</v>
      </c>
      <c r="R253" s="344"/>
      <c r="S253" s="58">
        <f>SUM(S251)</f>
        <v>0</v>
      </c>
      <c r="T253" s="59">
        <f>SUM(T251)</f>
        <v>1</v>
      </c>
      <c r="U253" s="60">
        <f>SUM(U251)</f>
        <v>0</v>
      </c>
      <c r="V253" s="63"/>
    </row>
    <row r="254" spans="1:22" s="42" customFormat="1" ht="16.5" customHeight="1" x14ac:dyDescent="0.2">
      <c r="A254" s="354">
        <v>2</v>
      </c>
      <c r="B254" s="356">
        <v>1</v>
      </c>
      <c r="C254" s="358">
        <v>9</v>
      </c>
      <c r="D254" s="360" t="s">
        <v>354</v>
      </c>
      <c r="E254" s="362"/>
      <c r="F254" s="364" t="s">
        <v>182</v>
      </c>
      <c r="G254" s="169" t="s">
        <v>112</v>
      </c>
      <c r="H254" s="64">
        <f>SUM(I254:K254)</f>
        <v>8707</v>
      </c>
      <c r="I254" s="78"/>
      <c r="J254" s="78"/>
      <c r="K254" s="65">
        <f>ROUND(30063.66/3.4528,0)</f>
        <v>8707</v>
      </c>
      <c r="L254" s="64">
        <f>SUM(M254:O254)</f>
        <v>8707</v>
      </c>
      <c r="M254" s="44"/>
      <c r="N254" s="44"/>
      <c r="O254" s="65">
        <f>ROUND(30063.66/3.4528,0)</f>
        <v>8707</v>
      </c>
      <c r="P254" s="106"/>
      <c r="Q254" s="98"/>
      <c r="R254" s="342"/>
      <c r="S254" s="345"/>
      <c r="T254" s="348"/>
      <c r="U254" s="351"/>
      <c r="V254" s="63"/>
    </row>
    <row r="255" spans="1:22" s="42" customFormat="1" ht="16.5" customHeight="1" x14ac:dyDescent="0.2">
      <c r="A255" s="355"/>
      <c r="B255" s="357"/>
      <c r="C255" s="359"/>
      <c r="D255" s="361"/>
      <c r="E255" s="363"/>
      <c r="F255" s="365"/>
      <c r="G255" s="169" t="s">
        <v>55</v>
      </c>
      <c r="H255" s="64">
        <f>SUM(I255:K255)</f>
        <v>64763</v>
      </c>
      <c r="I255" s="78"/>
      <c r="J255" s="78"/>
      <c r="K255" s="65">
        <f>ROUND(223614/3.4528,0)</f>
        <v>64763</v>
      </c>
      <c r="L255" s="64">
        <f>SUM(M255:O255)</f>
        <v>64763</v>
      </c>
      <c r="M255" s="44"/>
      <c r="N255" s="44"/>
      <c r="O255" s="65">
        <f>ROUND(223614/3.4528,0)</f>
        <v>64763</v>
      </c>
      <c r="P255" s="106"/>
      <c r="Q255" s="98"/>
      <c r="R255" s="343"/>
      <c r="S255" s="346"/>
      <c r="T255" s="349"/>
      <c r="U255" s="352"/>
      <c r="V255" s="63"/>
    </row>
    <row r="256" spans="1:22" s="42" customFormat="1" ht="16.5" customHeight="1" x14ac:dyDescent="0.2">
      <c r="A256" s="355"/>
      <c r="B256" s="357"/>
      <c r="C256" s="359"/>
      <c r="D256" s="361"/>
      <c r="E256" s="363"/>
      <c r="F256" s="365"/>
      <c r="G256" s="169" t="s">
        <v>29</v>
      </c>
      <c r="H256" s="64">
        <f>SUM(I256:K256)</f>
        <v>13600</v>
      </c>
      <c r="I256" s="78"/>
      <c r="J256" s="78"/>
      <c r="K256" s="65">
        <f>ROUND(46958.94/3.4528,0)</f>
        <v>13600</v>
      </c>
      <c r="L256" s="64">
        <f>SUM(M256:O256)</f>
        <v>13600</v>
      </c>
      <c r="M256" s="44"/>
      <c r="N256" s="44"/>
      <c r="O256" s="65">
        <f>ROUND(46958.94/3.4528,0)</f>
        <v>13600</v>
      </c>
      <c r="P256" s="106"/>
      <c r="Q256" s="98"/>
      <c r="R256" s="343"/>
      <c r="S256" s="347"/>
      <c r="T256" s="350"/>
      <c r="U256" s="353"/>
      <c r="V256" s="63"/>
    </row>
    <row r="257" spans="1:33" s="42" customFormat="1" ht="16.5" customHeight="1" x14ac:dyDescent="0.2">
      <c r="A257" s="355"/>
      <c r="B257" s="357"/>
      <c r="C257" s="359"/>
      <c r="D257" s="361"/>
      <c r="E257" s="363"/>
      <c r="F257" s="365"/>
      <c r="G257" s="173" t="s">
        <v>12</v>
      </c>
      <c r="H257" s="58">
        <f>SUM(H254:H256)</f>
        <v>87070</v>
      </c>
      <c r="I257" s="59">
        <f t="shared" ref="I257:Q257" si="61">SUM(I254:I256)</f>
        <v>0</v>
      </c>
      <c r="J257" s="59">
        <f t="shared" si="61"/>
        <v>0</v>
      </c>
      <c r="K257" s="60">
        <f t="shared" si="61"/>
        <v>87070</v>
      </c>
      <c r="L257" s="58">
        <f t="shared" si="61"/>
        <v>87070</v>
      </c>
      <c r="M257" s="59">
        <f t="shared" si="61"/>
        <v>0</v>
      </c>
      <c r="N257" s="59">
        <f t="shared" si="61"/>
        <v>0</v>
      </c>
      <c r="O257" s="60">
        <f t="shared" si="61"/>
        <v>87070</v>
      </c>
      <c r="P257" s="61">
        <f t="shared" si="61"/>
        <v>0</v>
      </c>
      <c r="Q257" s="252">
        <f t="shared" si="61"/>
        <v>0</v>
      </c>
      <c r="R257" s="344"/>
      <c r="S257" s="58"/>
      <c r="T257" s="59"/>
      <c r="U257" s="60"/>
      <c r="V257" s="63"/>
    </row>
    <row r="258" spans="1:33" s="42" customFormat="1" ht="16.5" customHeight="1" x14ac:dyDescent="0.2">
      <c r="A258" s="454" t="s">
        <v>18</v>
      </c>
      <c r="B258" s="456" t="s">
        <v>17</v>
      </c>
      <c r="C258" s="358">
        <v>10</v>
      </c>
      <c r="D258" s="360" t="s">
        <v>236</v>
      </c>
      <c r="E258" s="362" t="s">
        <v>194</v>
      </c>
      <c r="F258" s="364" t="s">
        <v>182</v>
      </c>
      <c r="G258" s="169" t="s">
        <v>84</v>
      </c>
      <c r="H258" s="64">
        <f>SUM(I258:K258)</f>
        <v>59481</v>
      </c>
      <c r="I258" s="44">
        <f>ROUND(50000/3.4528,0)</f>
        <v>14481</v>
      </c>
      <c r="J258" s="44"/>
      <c r="K258" s="65">
        <v>45000</v>
      </c>
      <c r="L258" s="64">
        <f>SUM(M258:O258)</f>
        <v>33064</v>
      </c>
      <c r="M258" s="44">
        <v>14000</v>
      </c>
      <c r="N258" s="44"/>
      <c r="O258" s="65">
        <f>21000-1936</f>
        <v>19064</v>
      </c>
      <c r="P258" s="66">
        <v>57924</v>
      </c>
      <c r="Q258" s="100">
        <v>57924</v>
      </c>
      <c r="R258" s="418" t="s">
        <v>154</v>
      </c>
      <c r="S258" s="76">
        <v>5</v>
      </c>
      <c r="T258" s="78"/>
      <c r="U258" s="81"/>
      <c r="V258" s="63"/>
    </row>
    <row r="259" spans="1:33" s="42" customFormat="1" ht="48" customHeight="1" thickBot="1" x14ac:dyDescent="0.25">
      <c r="A259" s="455"/>
      <c r="B259" s="457"/>
      <c r="C259" s="458"/>
      <c r="D259" s="459"/>
      <c r="E259" s="460"/>
      <c r="F259" s="461"/>
      <c r="G259" s="172" t="s">
        <v>12</v>
      </c>
      <c r="H259" s="89">
        <f>SUM(H258:H258)</f>
        <v>59481</v>
      </c>
      <c r="I259" s="90">
        <f t="shared" ref="I259:Q259" si="62">SUM(I258:I258)</f>
        <v>14481</v>
      </c>
      <c r="J259" s="90">
        <f t="shared" si="62"/>
        <v>0</v>
      </c>
      <c r="K259" s="91">
        <f t="shared" si="62"/>
        <v>45000</v>
      </c>
      <c r="L259" s="89">
        <f>SUM(L258:L258)</f>
        <v>33064</v>
      </c>
      <c r="M259" s="90">
        <f>SUM(M258:M258)</f>
        <v>14000</v>
      </c>
      <c r="N259" s="90">
        <f>SUM(N258:N258)</f>
        <v>0</v>
      </c>
      <c r="O259" s="91">
        <f>SUM(O258:O258)</f>
        <v>19064</v>
      </c>
      <c r="P259" s="117">
        <f t="shared" si="62"/>
        <v>57924</v>
      </c>
      <c r="Q259" s="284">
        <f t="shared" si="62"/>
        <v>57924</v>
      </c>
      <c r="R259" s="453"/>
      <c r="S259" s="89">
        <f>SUM(S258:S258)</f>
        <v>5</v>
      </c>
      <c r="T259" s="90">
        <f>SUM(T258:T258)</f>
        <v>0</v>
      </c>
      <c r="U259" s="91">
        <f>SUM(U258:U258)</f>
        <v>0</v>
      </c>
      <c r="V259" s="63"/>
    </row>
    <row r="260" spans="1:33" s="42" customFormat="1" ht="14.25" customHeight="1" thickBot="1" x14ac:dyDescent="0.25">
      <c r="A260" s="49" t="s">
        <v>18</v>
      </c>
      <c r="B260" s="50" t="s">
        <v>17</v>
      </c>
      <c r="C260" s="436" t="s">
        <v>13</v>
      </c>
      <c r="D260" s="436"/>
      <c r="E260" s="436"/>
      <c r="F260" s="436"/>
      <c r="G260" s="437"/>
      <c r="H260" s="97">
        <f>H227+H231+H235+H238+H242+H246+H250+H257+H253+H259</f>
        <v>1180840</v>
      </c>
      <c r="I260" s="97">
        <f t="shared" ref="I260:Q260" si="63">I227+I231+I235+I238+I242+I246+I250+I257+I253+I259</f>
        <v>35552</v>
      </c>
      <c r="J260" s="97">
        <f t="shared" si="63"/>
        <v>0</v>
      </c>
      <c r="K260" s="97">
        <f t="shared" si="63"/>
        <v>1145288</v>
      </c>
      <c r="L260" s="97">
        <f t="shared" si="63"/>
        <v>338366</v>
      </c>
      <c r="M260" s="97">
        <f t="shared" si="63"/>
        <v>23155</v>
      </c>
      <c r="N260" s="97">
        <f t="shared" si="63"/>
        <v>0</v>
      </c>
      <c r="O260" s="97">
        <f t="shared" si="63"/>
        <v>315211</v>
      </c>
      <c r="P260" s="97">
        <f t="shared" si="63"/>
        <v>414058</v>
      </c>
      <c r="Q260" s="97">
        <f t="shared" si="63"/>
        <v>57924</v>
      </c>
      <c r="R260" s="97" t="s">
        <v>23</v>
      </c>
      <c r="S260" s="88" t="s">
        <v>23</v>
      </c>
      <c r="T260" s="88" t="s">
        <v>23</v>
      </c>
      <c r="U260" s="113" t="s">
        <v>23</v>
      </c>
    </row>
    <row r="261" spans="1:33" s="42" customFormat="1" ht="13.5" customHeight="1" thickBot="1" x14ac:dyDescent="0.25">
      <c r="A261" s="49" t="s">
        <v>18</v>
      </c>
      <c r="B261" s="392" t="s">
        <v>14</v>
      </c>
      <c r="C261" s="392"/>
      <c r="D261" s="392"/>
      <c r="E261" s="392"/>
      <c r="F261" s="392"/>
      <c r="G261" s="393"/>
      <c r="H261" s="49">
        <f>H260</f>
        <v>1180840</v>
      </c>
      <c r="I261" s="49">
        <f t="shared" ref="I261:Q261" si="64">I260</f>
        <v>35552</v>
      </c>
      <c r="J261" s="49">
        <f t="shared" si="64"/>
        <v>0</v>
      </c>
      <c r="K261" s="49">
        <f t="shared" si="64"/>
        <v>1145288</v>
      </c>
      <c r="L261" s="49">
        <f t="shared" si="64"/>
        <v>338366</v>
      </c>
      <c r="M261" s="49">
        <f t="shared" si="64"/>
        <v>23155</v>
      </c>
      <c r="N261" s="49">
        <f t="shared" si="64"/>
        <v>0</v>
      </c>
      <c r="O261" s="49">
        <f t="shared" si="64"/>
        <v>315211</v>
      </c>
      <c r="P261" s="49">
        <f t="shared" si="64"/>
        <v>414058</v>
      </c>
      <c r="Q261" s="49">
        <f t="shared" si="64"/>
        <v>57924</v>
      </c>
      <c r="R261" s="49" t="s">
        <v>23</v>
      </c>
      <c r="S261" s="118" t="s">
        <v>23</v>
      </c>
      <c r="T261" s="118" t="s">
        <v>23</v>
      </c>
      <c r="U261" s="119" t="s">
        <v>23</v>
      </c>
    </row>
    <row r="262" spans="1:33" s="42" customFormat="1" ht="14.25" customHeight="1" thickBot="1" x14ac:dyDescent="0.25">
      <c r="A262" s="438" t="s">
        <v>15</v>
      </c>
      <c r="B262" s="439"/>
      <c r="C262" s="439"/>
      <c r="D262" s="439"/>
      <c r="E262" s="439"/>
      <c r="F262" s="439"/>
      <c r="G262" s="440"/>
      <c r="H262" s="120">
        <f t="shared" ref="H262:Q262" si="65">H222+H261</f>
        <v>19534832.16</v>
      </c>
      <c r="I262" s="120">
        <f t="shared" si="65"/>
        <v>368944</v>
      </c>
      <c r="J262" s="120">
        <f t="shared" si="65"/>
        <v>0</v>
      </c>
      <c r="K262" s="120">
        <f t="shared" si="65"/>
        <v>19165888.16</v>
      </c>
      <c r="L262" s="120">
        <f t="shared" si="65"/>
        <v>8138493.1600000001</v>
      </c>
      <c r="M262" s="120">
        <f t="shared" si="65"/>
        <v>112159</v>
      </c>
      <c r="N262" s="120">
        <f t="shared" si="65"/>
        <v>0</v>
      </c>
      <c r="O262" s="120">
        <f t="shared" si="65"/>
        <v>8026334.1600000001</v>
      </c>
      <c r="P262" s="120">
        <f t="shared" si="65"/>
        <v>20035108.475106582</v>
      </c>
      <c r="Q262" s="120">
        <f t="shared" si="65"/>
        <v>18695598.315106578</v>
      </c>
      <c r="R262" s="120" t="s">
        <v>23</v>
      </c>
      <c r="S262" s="121" t="s">
        <v>23</v>
      </c>
      <c r="T262" s="121" t="s">
        <v>23</v>
      </c>
      <c r="U262" s="122" t="s">
        <v>23</v>
      </c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</row>
    <row r="263" spans="1:33" s="42" customFormat="1" ht="14.25" customHeight="1" x14ac:dyDescent="0.2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63"/>
      <c r="V263" s="63"/>
      <c r="W263" s="63"/>
      <c r="X263" s="63"/>
      <c r="Y263" s="63"/>
      <c r="Z263" s="63"/>
      <c r="AA263" s="63"/>
      <c r="AB263" s="63"/>
    </row>
    <row r="264" spans="1:33" s="126" customFormat="1" ht="12" thickBot="1" x14ac:dyDescent="0.25">
      <c r="A264" s="124"/>
      <c r="B264" s="124"/>
      <c r="C264" s="123"/>
      <c r="D264" s="123"/>
      <c r="E264" s="123"/>
      <c r="F264" s="123"/>
      <c r="G264" s="123"/>
      <c r="H264" s="124"/>
      <c r="I264" s="124"/>
      <c r="J264" s="124"/>
      <c r="K264" s="124"/>
      <c r="L264" s="124"/>
      <c r="M264" s="124"/>
      <c r="N264" s="124"/>
      <c r="O264" s="124"/>
      <c r="P264" s="125"/>
      <c r="Q264" s="124"/>
      <c r="R264" s="124"/>
      <c r="S264" s="124"/>
    </row>
    <row r="265" spans="1:33" ht="11.25" customHeight="1" x14ac:dyDescent="0.2">
      <c r="A265" s="441" t="s">
        <v>16</v>
      </c>
      <c r="B265" s="442"/>
      <c r="C265" s="447" t="s">
        <v>27</v>
      </c>
      <c r="D265" s="448"/>
      <c r="E265" s="448"/>
      <c r="F265" s="449"/>
      <c r="G265" s="295" t="s">
        <v>84</v>
      </c>
      <c r="H265" s="127">
        <f t="shared" ref="H265:Q265" si="66">H62+H79+H106+H131+H211+H232+H245+H258</f>
        <v>2902418</v>
      </c>
      <c r="I265" s="286">
        <f t="shared" si="66"/>
        <v>43443</v>
      </c>
      <c r="J265" s="286">
        <f t="shared" si="66"/>
        <v>0</v>
      </c>
      <c r="K265" s="287">
        <f t="shared" si="66"/>
        <v>2858975</v>
      </c>
      <c r="L265" s="127">
        <f t="shared" si="66"/>
        <v>35000</v>
      </c>
      <c r="M265" s="286">
        <f t="shared" si="66"/>
        <v>14000</v>
      </c>
      <c r="N265" s="286">
        <f t="shared" si="66"/>
        <v>0</v>
      </c>
      <c r="O265" s="287">
        <f t="shared" si="66"/>
        <v>21000</v>
      </c>
      <c r="P265" s="291">
        <f t="shared" si="66"/>
        <v>57924</v>
      </c>
      <c r="Q265" s="293">
        <f t="shared" si="66"/>
        <v>57924</v>
      </c>
      <c r="R265" s="125"/>
      <c r="S265" s="125"/>
    </row>
    <row r="266" spans="1:33" ht="11.25" hidden="1" customHeight="1" x14ac:dyDescent="0.2">
      <c r="A266" s="443"/>
      <c r="B266" s="444"/>
      <c r="C266" s="430" t="s">
        <v>85</v>
      </c>
      <c r="D266" s="431"/>
      <c r="E266" s="431"/>
      <c r="F266" s="432"/>
      <c r="G266" s="296" t="s">
        <v>86</v>
      </c>
      <c r="H266" s="128"/>
      <c r="I266" s="129"/>
      <c r="J266" s="129"/>
      <c r="K266" s="288"/>
      <c r="L266" s="128"/>
      <c r="M266" s="129"/>
      <c r="N266" s="129"/>
      <c r="O266" s="288"/>
      <c r="P266" s="130"/>
      <c r="Q266" s="162"/>
      <c r="R266" s="125"/>
      <c r="S266" s="125"/>
    </row>
    <row r="267" spans="1:33" ht="11.25" hidden="1" customHeight="1" x14ac:dyDescent="0.2">
      <c r="A267" s="443"/>
      <c r="B267" s="444"/>
      <c r="C267" s="430" t="s">
        <v>87</v>
      </c>
      <c r="D267" s="431"/>
      <c r="E267" s="431"/>
      <c r="F267" s="432"/>
      <c r="G267" s="296" t="s">
        <v>88</v>
      </c>
      <c r="H267" s="128"/>
      <c r="I267" s="129"/>
      <c r="J267" s="129"/>
      <c r="K267" s="288"/>
      <c r="L267" s="128"/>
      <c r="M267" s="129"/>
      <c r="N267" s="129"/>
      <c r="O267" s="288"/>
      <c r="P267" s="130"/>
      <c r="Q267" s="162"/>
      <c r="R267" s="125"/>
      <c r="S267" s="125"/>
    </row>
    <row r="268" spans="1:33" ht="11.25" hidden="1" customHeight="1" x14ac:dyDescent="0.2">
      <c r="A268" s="443"/>
      <c r="B268" s="444"/>
      <c r="C268" s="430" t="s">
        <v>89</v>
      </c>
      <c r="D268" s="431"/>
      <c r="E268" s="431"/>
      <c r="F268" s="432"/>
      <c r="G268" s="296" t="s">
        <v>90</v>
      </c>
      <c r="H268" s="128"/>
      <c r="I268" s="129"/>
      <c r="J268" s="129"/>
      <c r="K268" s="288"/>
      <c r="L268" s="128"/>
      <c r="M268" s="129"/>
      <c r="N268" s="129"/>
      <c r="O268" s="288"/>
      <c r="P268" s="130"/>
      <c r="Q268" s="162"/>
      <c r="R268" s="125"/>
      <c r="S268" s="125"/>
    </row>
    <row r="269" spans="1:33" ht="11.25" hidden="1" customHeight="1" x14ac:dyDescent="0.2">
      <c r="A269" s="443"/>
      <c r="B269" s="444"/>
      <c r="C269" s="430" t="s">
        <v>91</v>
      </c>
      <c r="D269" s="431"/>
      <c r="E269" s="431"/>
      <c r="F269" s="432"/>
      <c r="G269" s="296" t="s">
        <v>92</v>
      </c>
      <c r="H269" s="128"/>
      <c r="I269" s="129"/>
      <c r="J269" s="129"/>
      <c r="K269" s="288"/>
      <c r="L269" s="128"/>
      <c r="M269" s="129"/>
      <c r="N269" s="129"/>
      <c r="O269" s="288"/>
      <c r="P269" s="130"/>
      <c r="Q269" s="162"/>
      <c r="R269" s="125"/>
      <c r="S269" s="125"/>
    </row>
    <row r="270" spans="1:33" ht="11.25" hidden="1" customHeight="1" x14ac:dyDescent="0.2">
      <c r="A270" s="443"/>
      <c r="B270" s="444"/>
      <c r="C270" s="430" t="s">
        <v>93</v>
      </c>
      <c r="D270" s="431"/>
      <c r="E270" s="431"/>
      <c r="F270" s="432"/>
      <c r="G270" s="296" t="s">
        <v>94</v>
      </c>
      <c r="H270" s="128"/>
      <c r="I270" s="129"/>
      <c r="J270" s="129"/>
      <c r="K270" s="288"/>
      <c r="L270" s="128"/>
      <c r="M270" s="129"/>
      <c r="N270" s="129"/>
      <c r="O270" s="288"/>
      <c r="P270" s="130"/>
      <c r="Q270" s="162"/>
      <c r="R270" s="125"/>
      <c r="S270" s="125"/>
    </row>
    <row r="271" spans="1:33" ht="12" hidden="1" customHeight="1" x14ac:dyDescent="0.2">
      <c r="A271" s="443"/>
      <c r="B271" s="444"/>
      <c r="C271" s="430" t="s">
        <v>95</v>
      </c>
      <c r="D271" s="431"/>
      <c r="E271" s="431"/>
      <c r="F271" s="432"/>
      <c r="G271" s="296" t="s">
        <v>96</v>
      </c>
      <c r="H271" s="128"/>
      <c r="I271" s="129"/>
      <c r="J271" s="129"/>
      <c r="K271" s="288"/>
      <c r="L271" s="128"/>
      <c r="M271" s="129"/>
      <c r="N271" s="129"/>
      <c r="O271" s="288"/>
      <c r="P271" s="130"/>
      <c r="Q271" s="162"/>
      <c r="R271" s="125"/>
      <c r="S271" s="125"/>
    </row>
    <row r="272" spans="1:33" ht="12.75" hidden="1" customHeight="1" x14ac:dyDescent="0.2">
      <c r="A272" s="443"/>
      <c r="B272" s="444"/>
      <c r="C272" s="430" t="s">
        <v>97</v>
      </c>
      <c r="D272" s="431"/>
      <c r="E272" s="431"/>
      <c r="F272" s="432"/>
      <c r="G272" s="296" t="s">
        <v>98</v>
      </c>
      <c r="H272" s="128"/>
      <c r="I272" s="129"/>
      <c r="J272" s="129"/>
      <c r="K272" s="288"/>
      <c r="L272" s="128"/>
      <c r="M272" s="129"/>
      <c r="N272" s="129"/>
      <c r="O272" s="288"/>
      <c r="P272" s="130"/>
      <c r="Q272" s="162"/>
      <c r="R272" s="125"/>
      <c r="S272" s="125"/>
    </row>
    <row r="273" spans="1:18" ht="11.25" customHeight="1" x14ac:dyDescent="0.2">
      <c r="A273" s="443"/>
      <c r="B273" s="444"/>
      <c r="C273" s="430" t="s">
        <v>30</v>
      </c>
      <c r="D273" s="431"/>
      <c r="E273" s="431"/>
      <c r="F273" s="432"/>
      <c r="G273" s="296" t="s">
        <v>29</v>
      </c>
      <c r="H273" s="128">
        <f>H25+H38+H50+H55+H59+H116+H120+H124+H129+H150+H155+H165+H175+H179+H209+H256</f>
        <v>683557.15999999992</v>
      </c>
      <c r="I273" s="129">
        <f t="shared" ref="I273:Q273" si="67">I25+I38+I50+I55+I59+I116+I120+I124+I129+I150+I155+I165+I175+I179+I209+I256</f>
        <v>0</v>
      </c>
      <c r="J273" s="129">
        <f t="shared" si="67"/>
        <v>0</v>
      </c>
      <c r="K273" s="288">
        <f t="shared" si="67"/>
        <v>683557.15999999992</v>
      </c>
      <c r="L273" s="128">
        <f t="shared" si="67"/>
        <v>669957.15999999992</v>
      </c>
      <c r="M273" s="129">
        <f t="shared" si="67"/>
        <v>0</v>
      </c>
      <c r="N273" s="129">
        <f t="shared" si="67"/>
        <v>0</v>
      </c>
      <c r="O273" s="288">
        <f t="shared" si="67"/>
        <v>669957.15999999992</v>
      </c>
      <c r="P273" s="130">
        <f t="shared" si="67"/>
        <v>1004558.1970713623</v>
      </c>
      <c r="Q273" s="162">
        <f t="shared" si="67"/>
        <v>658475.03707136237</v>
      </c>
    </row>
    <row r="274" spans="1:18" ht="26.25" hidden="1" customHeight="1" x14ac:dyDescent="0.2">
      <c r="A274" s="443"/>
      <c r="B274" s="444"/>
      <c r="C274" s="430" t="s">
        <v>99</v>
      </c>
      <c r="D274" s="431"/>
      <c r="E274" s="431"/>
      <c r="F274" s="432"/>
      <c r="G274" s="296" t="s">
        <v>100</v>
      </c>
      <c r="H274" s="128"/>
      <c r="I274" s="129"/>
      <c r="J274" s="129"/>
      <c r="K274" s="288"/>
      <c r="L274" s="128"/>
      <c r="M274" s="129"/>
      <c r="N274" s="129"/>
      <c r="O274" s="288"/>
      <c r="P274" s="130"/>
      <c r="Q274" s="162"/>
    </row>
    <row r="275" spans="1:18" ht="20.25" customHeight="1" x14ac:dyDescent="0.2">
      <c r="A275" s="443"/>
      <c r="B275" s="444"/>
      <c r="C275" s="430" t="s">
        <v>101</v>
      </c>
      <c r="D275" s="431"/>
      <c r="E275" s="431"/>
      <c r="F275" s="432"/>
      <c r="G275" s="296" t="s">
        <v>102</v>
      </c>
      <c r="H275" s="128">
        <f t="shared" ref="H275:Q275" si="68">H168+H184+H213+H217</f>
        <v>6404534</v>
      </c>
      <c r="I275" s="129">
        <f t="shared" si="68"/>
        <v>0</v>
      </c>
      <c r="J275" s="129">
        <f t="shared" si="68"/>
        <v>0</v>
      </c>
      <c r="K275" s="288">
        <f t="shared" si="68"/>
        <v>6404534</v>
      </c>
      <c r="L275" s="128">
        <f t="shared" si="68"/>
        <v>81164</v>
      </c>
      <c r="M275" s="129">
        <f t="shared" si="68"/>
        <v>0</v>
      </c>
      <c r="N275" s="129">
        <f t="shared" si="68"/>
        <v>0</v>
      </c>
      <c r="O275" s="288">
        <f t="shared" si="68"/>
        <v>81164</v>
      </c>
      <c r="P275" s="130">
        <f t="shared" si="68"/>
        <v>0</v>
      </c>
      <c r="Q275" s="162">
        <f t="shared" si="68"/>
        <v>0</v>
      </c>
    </row>
    <row r="276" spans="1:18" ht="20.25" customHeight="1" x14ac:dyDescent="0.2">
      <c r="A276" s="443"/>
      <c r="B276" s="444"/>
      <c r="C276" s="427" t="s">
        <v>267</v>
      </c>
      <c r="D276" s="428"/>
      <c r="E276" s="428"/>
      <c r="F276" s="429"/>
      <c r="G276" s="296" t="s">
        <v>268</v>
      </c>
      <c r="H276" s="128">
        <f t="shared" ref="H276:Q276" si="69">H26+H39+H51+H60+H75+H102+H130+H151+H196+H230+H241</f>
        <v>916387</v>
      </c>
      <c r="I276" s="129">
        <f t="shared" si="69"/>
        <v>316346</v>
      </c>
      <c r="J276" s="129">
        <f t="shared" si="69"/>
        <v>0</v>
      </c>
      <c r="K276" s="288">
        <f t="shared" si="69"/>
        <v>600041</v>
      </c>
      <c r="L276" s="128">
        <f t="shared" si="69"/>
        <v>495109</v>
      </c>
      <c r="M276" s="129">
        <f t="shared" si="69"/>
        <v>89004</v>
      </c>
      <c r="N276" s="129">
        <f t="shared" si="69"/>
        <v>0</v>
      </c>
      <c r="O276" s="288">
        <f t="shared" si="69"/>
        <v>406105</v>
      </c>
      <c r="P276" s="130">
        <f t="shared" si="69"/>
        <v>0</v>
      </c>
      <c r="Q276" s="162">
        <f t="shared" si="69"/>
        <v>0</v>
      </c>
    </row>
    <row r="277" spans="1:18" ht="11.25" hidden="1" customHeight="1" x14ac:dyDescent="0.2">
      <c r="A277" s="443"/>
      <c r="B277" s="444"/>
      <c r="C277" s="430" t="s">
        <v>103</v>
      </c>
      <c r="D277" s="431"/>
      <c r="E277" s="431"/>
      <c r="F277" s="432"/>
      <c r="G277" s="296" t="s">
        <v>104</v>
      </c>
      <c r="H277" s="128"/>
      <c r="I277" s="129"/>
      <c r="J277" s="129"/>
      <c r="K277" s="288"/>
      <c r="L277" s="128"/>
      <c r="M277" s="129"/>
      <c r="N277" s="129"/>
      <c r="O277" s="288"/>
      <c r="P277" s="130"/>
      <c r="Q277" s="162"/>
    </row>
    <row r="278" spans="1:18" ht="11.25" hidden="1" customHeight="1" x14ac:dyDescent="0.2">
      <c r="A278" s="443"/>
      <c r="B278" s="444"/>
      <c r="C278" s="430" t="s">
        <v>28</v>
      </c>
      <c r="D278" s="431"/>
      <c r="E278" s="431"/>
      <c r="F278" s="432"/>
      <c r="G278" s="296" t="s">
        <v>105</v>
      </c>
      <c r="H278" s="128"/>
      <c r="I278" s="129"/>
      <c r="J278" s="129"/>
      <c r="K278" s="288"/>
      <c r="L278" s="128"/>
      <c r="M278" s="129"/>
      <c r="N278" s="129"/>
      <c r="O278" s="288"/>
      <c r="P278" s="130"/>
      <c r="Q278" s="162"/>
    </row>
    <row r="279" spans="1:18" ht="11.25" hidden="1" customHeight="1" x14ac:dyDescent="0.2">
      <c r="A279" s="443"/>
      <c r="B279" s="444"/>
      <c r="C279" s="430" t="s">
        <v>106</v>
      </c>
      <c r="D279" s="431"/>
      <c r="E279" s="431"/>
      <c r="F279" s="432"/>
      <c r="G279" s="296" t="s">
        <v>107</v>
      </c>
      <c r="H279" s="128"/>
      <c r="I279" s="129"/>
      <c r="J279" s="129"/>
      <c r="K279" s="288"/>
      <c r="L279" s="128"/>
      <c r="M279" s="129"/>
      <c r="N279" s="129"/>
      <c r="O279" s="288"/>
      <c r="P279" s="130"/>
      <c r="Q279" s="162"/>
    </row>
    <row r="280" spans="1:18" ht="11.25" customHeight="1" x14ac:dyDescent="0.2">
      <c r="A280" s="443"/>
      <c r="B280" s="444"/>
      <c r="C280" s="430" t="s">
        <v>108</v>
      </c>
      <c r="D280" s="431"/>
      <c r="E280" s="431"/>
      <c r="F280" s="432"/>
      <c r="G280" s="296" t="s">
        <v>55</v>
      </c>
      <c r="H280" s="128">
        <f>H24+H35+H49+H54+H58+H65+H74+H78+H96+H101+H105+H110+H115+H119+H123+H128+H146+H149+H154+H158+H164+H169+H174+H178+H199+H202++H205+H208+H215+H219+H225+H228+H234+H237+H240+H244+H249+H252+H255</f>
        <v>5051148</v>
      </c>
      <c r="I280" s="129">
        <f t="shared" ref="I280:Q280" si="70">I24+I35+I49+I54+I58+I65+I74+I78+I96+I101+I105+I110+I115+I119+I123+I128+I146+I149+I154+I158+I164+I169+I174+I178+I199+I202++I205+I208+I215+I219+I225+I228+I234+I237+I240+I244+I249+I252+I255</f>
        <v>9155</v>
      </c>
      <c r="J280" s="129">
        <f t="shared" si="70"/>
        <v>0</v>
      </c>
      <c r="K280" s="288">
        <f t="shared" si="70"/>
        <v>5041993</v>
      </c>
      <c r="L280" s="128">
        <f t="shared" si="70"/>
        <v>4487216</v>
      </c>
      <c r="M280" s="129">
        <f t="shared" si="70"/>
        <v>9155</v>
      </c>
      <c r="N280" s="129">
        <f t="shared" si="70"/>
        <v>0</v>
      </c>
      <c r="O280" s="288">
        <f t="shared" si="70"/>
        <v>4478061</v>
      </c>
      <c r="P280" s="130">
        <f t="shared" si="70"/>
        <v>12438734.267840594</v>
      </c>
      <c r="Q280" s="162">
        <f t="shared" si="70"/>
        <v>9850404.2678405941</v>
      </c>
    </row>
    <row r="281" spans="1:18" ht="24" hidden="1" customHeight="1" x14ac:dyDescent="0.2">
      <c r="A281" s="443"/>
      <c r="B281" s="444"/>
      <c r="C281" s="430" t="s">
        <v>109</v>
      </c>
      <c r="D281" s="431"/>
      <c r="E281" s="431"/>
      <c r="F281" s="432"/>
      <c r="G281" s="296" t="s">
        <v>110</v>
      </c>
      <c r="H281" s="128"/>
      <c r="I281" s="129"/>
      <c r="J281" s="129"/>
      <c r="K281" s="288"/>
      <c r="L281" s="128"/>
      <c r="M281" s="129"/>
      <c r="N281" s="129"/>
      <c r="O281" s="288"/>
      <c r="P281" s="130"/>
      <c r="Q281" s="162"/>
    </row>
    <row r="282" spans="1:18" x14ac:dyDescent="0.2">
      <c r="A282" s="443"/>
      <c r="B282" s="444"/>
      <c r="C282" s="430" t="s">
        <v>111</v>
      </c>
      <c r="D282" s="431"/>
      <c r="E282" s="431"/>
      <c r="F282" s="432"/>
      <c r="G282" s="296" t="s">
        <v>112</v>
      </c>
      <c r="H282" s="128">
        <f>H17+H23+H28+H34+H37+H45+H48+H53+H57+H64+H70+H73+H77+H95+H100+H104+H109+H114+H118+H122+H127+H139+H145+H148+H153+H157+H163+H167+H171+H173+H177+H183+H198+H201+H204+H207+H214+H218+H226+H233+H236+H239+H243+H248+H251+H254</f>
        <v>3092253</v>
      </c>
      <c r="I282" s="129">
        <f t="shared" ref="I282:Q282" si="71">I17+I23+I28+I34+I37+I45+I48+I53+I57+I64+I70+I73+I77+I95+I100+I104+I109+I114+I118+I122+I127+I139+I145+I148+I153+I157+I163+I167+I171+I173+I177+I183+I198+I201+I204+I207+I214+I218+I226+I233+I236+I239+I243+I248+I251+I254</f>
        <v>0</v>
      </c>
      <c r="J282" s="129">
        <f t="shared" si="71"/>
        <v>0</v>
      </c>
      <c r="K282" s="288">
        <f t="shared" si="71"/>
        <v>3092253</v>
      </c>
      <c r="L282" s="128">
        <f t="shared" si="71"/>
        <v>1885512</v>
      </c>
      <c r="M282" s="129">
        <f t="shared" si="71"/>
        <v>0</v>
      </c>
      <c r="N282" s="129">
        <f t="shared" si="71"/>
        <v>0</v>
      </c>
      <c r="O282" s="288">
        <f t="shared" si="71"/>
        <v>1885512</v>
      </c>
      <c r="P282" s="130">
        <f t="shared" si="71"/>
        <v>1756352.0101946248</v>
      </c>
      <c r="Q282" s="162">
        <f t="shared" si="71"/>
        <v>981065.01019462466</v>
      </c>
    </row>
    <row r="283" spans="1:18" hidden="1" x14ac:dyDescent="0.2">
      <c r="A283" s="443"/>
      <c r="B283" s="444"/>
      <c r="C283" s="427" t="s">
        <v>199</v>
      </c>
      <c r="D283" s="428"/>
      <c r="E283" s="428"/>
      <c r="F283" s="429"/>
      <c r="G283" s="296" t="s">
        <v>198</v>
      </c>
      <c r="H283" s="128"/>
      <c r="I283" s="129"/>
      <c r="J283" s="129"/>
      <c r="K283" s="288"/>
      <c r="L283" s="128"/>
      <c r="M283" s="129"/>
      <c r="N283" s="129"/>
      <c r="O283" s="288"/>
      <c r="P283" s="130"/>
      <c r="Q283" s="162"/>
    </row>
    <row r="284" spans="1:18" ht="11.25" customHeight="1" thickBot="1" x14ac:dyDescent="0.25">
      <c r="A284" s="443"/>
      <c r="B284" s="444"/>
      <c r="C284" s="430" t="s">
        <v>54</v>
      </c>
      <c r="D284" s="431"/>
      <c r="E284" s="431"/>
      <c r="F284" s="432"/>
      <c r="G284" s="296" t="s">
        <v>56</v>
      </c>
      <c r="H284" s="128">
        <f t="shared" ref="H284:Q284" si="72">H15+H18+H29+H41+H43+H46+H71+H140</f>
        <v>484535</v>
      </c>
      <c r="I284" s="129">
        <f t="shared" si="72"/>
        <v>0</v>
      </c>
      <c r="J284" s="129">
        <f t="shared" si="72"/>
        <v>0</v>
      </c>
      <c r="K284" s="288">
        <f t="shared" si="72"/>
        <v>484535</v>
      </c>
      <c r="L284" s="128">
        <f t="shared" si="72"/>
        <v>484535</v>
      </c>
      <c r="M284" s="129">
        <f t="shared" si="72"/>
        <v>0</v>
      </c>
      <c r="N284" s="129">
        <f t="shared" si="72"/>
        <v>0</v>
      </c>
      <c r="O284" s="288">
        <f t="shared" si="72"/>
        <v>484535</v>
      </c>
      <c r="P284" s="130">
        <f t="shared" si="72"/>
        <v>4777540</v>
      </c>
      <c r="Q284" s="162">
        <f t="shared" si="72"/>
        <v>7147730</v>
      </c>
    </row>
    <row r="285" spans="1:18" ht="11.25" hidden="1" customHeight="1" thickBot="1" x14ac:dyDescent="0.25">
      <c r="A285" s="443"/>
      <c r="B285" s="444"/>
      <c r="C285" s="433" t="s">
        <v>113</v>
      </c>
      <c r="D285" s="434"/>
      <c r="E285" s="434"/>
      <c r="F285" s="435"/>
      <c r="G285" s="297" t="s">
        <v>114</v>
      </c>
      <c r="H285" s="128"/>
      <c r="I285" s="129"/>
      <c r="J285" s="129"/>
      <c r="K285" s="288"/>
      <c r="L285" s="128"/>
      <c r="M285" s="129"/>
      <c r="N285" s="129"/>
      <c r="O285" s="288"/>
      <c r="P285" s="130"/>
      <c r="Q285" s="162"/>
    </row>
    <row r="286" spans="1:18" ht="13.5" customHeight="1" thickBot="1" x14ac:dyDescent="0.25">
      <c r="A286" s="445"/>
      <c r="B286" s="446"/>
      <c r="C286" s="450" t="s">
        <v>7</v>
      </c>
      <c r="D286" s="451"/>
      <c r="E286" s="451"/>
      <c r="F286" s="451"/>
      <c r="G286" s="452"/>
      <c r="H286" s="131">
        <f>SUM(H265:H285)</f>
        <v>19534832.16</v>
      </c>
      <c r="I286" s="289">
        <f t="shared" ref="I286:Q286" si="73">SUM(I265:I285)</f>
        <v>368944</v>
      </c>
      <c r="J286" s="289">
        <f t="shared" si="73"/>
        <v>0</v>
      </c>
      <c r="K286" s="290">
        <f t="shared" si="73"/>
        <v>19165888.16</v>
      </c>
      <c r="L286" s="131">
        <f t="shared" si="73"/>
        <v>8138493.1600000001</v>
      </c>
      <c r="M286" s="289">
        <f t="shared" si="73"/>
        <v>112159</v>
      </c>
      <c r="N286" s="289">
        <f t="shared" si="73"/>
        <v>0</v>
      </c>
      <c r="O286" s="290">
        <f t="shared" si="73"/>
        <v>8026334.1600000001</v>
      </c>
      <c r="P286" s="292">
        <f t="shared" si="73"/>
        <v>20035108.475106582</v>
      </c>
      <c r="Q286" s="294">
        <f t="shared" si="73"/>
        <v>18695598.315106578</v>
      </c>
      <c r="R286" s="126"/>
    </row>
    <row r="287" spans="1:18" x14ac:dyDescent="0.2">
      <c r="H287" s="208"/>
      <c r="I287" s="208"/>
      <c r="J287" s="208"/>
      <c r="K287" s="208"/>
    </row>
    <row r="288" spans="1:18" x14ac:dyDescent="0.2">
      <c r="G288" s="132" t="s">
        <v>191</v>
      </c>
      <c r="H288" s="133">
        <f t="shared" ref="H288:Q288" si="74">H262-H286</f>
        <v>0</v>
      </c>
      <c r="I288" s="133">
        <f t="shared" si="74"/>
        <v>0</v>
      </c>
      <c r="J288" s="133">
        <f t="shared" si="74"/>
        <v>0</v>
      </c>
      <c r="K288" s="133">
        <f t="shared" si="74"/>
        <v>0</v>
      </c>
      <c r="L288" s="133">
        <f t="shared" si="74"/>
        <v>0</v>
      </c>
      <c r="M288" s="133">
        <f t="shared" si="74"/>
        <v>0</v>
      </c>
      <c r="N288" s="133">
        <f t="shared" si="74"/>
        <v>0</v>
      </c>
      <c r="O288" s="133">
        <f t="shared" si="74"/>
        <v>0</v>
      </c>
      <c r="P288" s="133">
        <f t="shared" si="74"/>
        <v>0</v>
      </c>
      <c r="Q288" s="133">
        <f t="shared" si="74"/>
        <v>0</v>
      </c>
    </row>
    <row r="290" spans="7:12" x14ac:dyDescent="0.2">
      <c r="L290" s="41">
        <f>495109-L276</f>
        <v>0</v>
      </c>
    </row>
    <row r="293" spans="7:12" x14ac:dyDescent="0.2">
      <c r="K293" s="208"/>
    </row>
    <row r="294" spans="7:12" x14ac:dyDescent="0.2">
      <c r="G294" s="185"/>
    </row>
  </sheetData>
  <autoFilter ref="G1:G288"/>
  <mergeCells count="633">
    <mergeCell ref="E142:E144"/>
    <mergeCell ref="F142:F144"/>
    <mergeCell ref="D143:D144"/>
    <mergeCell ref="E37:E40"/>
    <mergeCell ref="A160:A162"/>
    <mergeCell ref="B160:B162"/>
    <mergeCell ref="C160:C162"/>
    <mergeCell ref="E160:E162"/>
    <mergeCell ref="F160:F162"/>
    <mergeCell ref="D161:D162"/>
    <mergeCell ref="A142:A144"/>
    <mergeCell ref="B142:B144"/>
    <mergeCell ref="C142:C144"/>
    <mergeCell ref="F31:F33"/>
    <mergeCell ref="D32:D33"/>
    <mergeCell ref="A67:A69"/>
    <mergeCell ref="B67:B69"/>
    <mergeCell ref="C67:C69"/>
    <mergeCell ref="E67:E69"/>
    <mergeCell ref="F67:F69"/>
    <mergeCell ref="C37:C40"/>
    <mergeCell ref="D37:D40"/>
    <mergeCell ref="P124:P125"/>
    <mergeCell ref="A20:A22"/>
    <mergeCell ref="B20:B22"/>
    <mergeCell ref="C20:C22"/>
    <mergeCell ref="E20:E22"/>
    <mergeCell ref="F20:F22"/>
    <mergeCell ref="A31:A33"/>
    <mergeCell ref="B31:B33"/>
    <mergeCell ref="C31:C33"/>
    <mergeCell ref="E31:E33"/>
    <mergeCell ref="G228:G229"/>
    <mergeCell ref="H228:H229"/>
    <mergeCell ref="I228:I229"/>
    <mergeCell ref="F177:F180"/>
    <mergeCell ref="F37:F40"/>
    <mergeCell ref="D43:D44"/>
    <mergeCell ref="E43:E44"/>
    <mergeCell ref="F43:F44"/>
    <mergeCell ref="J228:J229"/>
    <mergeCell ref="K228:K229"/>
    <mergeCell ref="L228:L229"/>
    <mergeCell ref="T251:T252"/>
    <mergeCell ref="U251:U252"/>
    <mergeCell ref="A177:A180"/>
    <mergeCell ref="B177:B180"/>
    <mergeCell ref="C177:C180"/>
    <mergeCell ref="D177:D180"/>
    <mergeCell ref="E177:E180"/>
    <mergeCell ref="A251:A253"/>
    <mergeCell ref="Q228:Q229"/>
    <mergeCell ref="B251:B253"/>
    <mergeCell ref="U177:U179"/>
    <mergeCell ref="A109:A111"/>
    <mergeCell ref="B109:B111"/>
    <mergeCell ref="C109:C111"/>
    <mergeCell ref="D109:D111"/>
    <mergeCell ref="E109:E111"/>
    <mergeCell ref="F109:F111"/>
    <mergeCell ref="A248:A250"/>
    <mergeCell ref="B248:B250"/>
    <mergeCell ref="C248:C250"/>
    <mergeCell ref="D248:D250"/>
    <mergeCell ref="E248:E250"/>
    <mergeCell ref="F248:F250"/>
    <mergeCell ref="U198:U199"/>
    <mergeCell ref="T248:T249"/>
    <mergeCell ref="U248:U249"/>
    <mergeCell ref="S109:S110"/>
    <mergeCell ref="T109:T110"/>
    <mergeCell ref="U109:U110"/>
    <mergeCell ref="U204:U205"/>
    <mergeCell ref="S217:S219"/>
    <mergeCell ref="S148:S151"/>
    <mergeCell ref="T148:T151"/>
    <mergeCell ref="D204:D206"/>
    <mergeCell ref="E204:E206"/>
    <mergeCell ref="F204:F206"/>
    <mergeCell ref="U148:U151"/>
    <mergeCell ref="U213:U215"/>
    <mergeCell ref="T213:T215"/>
    <mergeCell ref="S213:S215"/>
    <mergeCell ref="S207:S209"/>
    <mergeCell ref="T207:T209"/>
    <mergeCell ref="U207:U209"/>
    <mergeCell ref="R204:R206"/>
    <mergeCell ref="S204:S205"/>
    <mergeCell ref="T204:T205"/>
    <mergeCell ref="A173:A176"/>
    <mergeCell ref="B173:B176"/>
    <mergeCell ref="C173:C176"/>
    <mergeCell ref="D173:D176"/>
    <mergeCell ref="E173:E176"/>
    <mergeCell ref="F173:F176"/>
    <mergeCell ref="R196:R197"/>
    <mergeCell ref="A95:A97"/>
    <mergeCell ref="D77:D80"/>
    <mergeCell ref="R95:R97"/>
    <mergeCell ref="B95:B97"/>
    <mergeCell ref="D95:D97"/>
    <mergeCell ref="E95:E97"/>
    <mergeCell ref="F95:F97"/>
    <mergeCell ref="E77:E80"/>
    <mergeCell ref="F77:F80"/>
    <mergeCell ref="R77:R80"/>
    <mergeCell ref="P1:S1"/>
    <mergeCell ref="A2:U2"/>
    <mergeCell ref="A3:U3"/>
    <mergeCell ref="A4:U4"/>
    <mergeCell ref="A5:U5"/>
    <mergeCell ref="A6:U6"/>
    <mergeCell ref="A7:U7"/>
    <mergeCell ref="A8:A10"/>
    <mergeCell ref="B8:B10"/>
    <mergeCell ref="C8:C10"/>
    <mergeCell ref="D8:D10"/>
    <mergeCell ref="E8:E10"/>
    <mergeCell ref="F8:F10"/>
    <mergeCell ref="G8:G10"/>
    <mergeCell ref="H8:K8"/>
    <mergeCell ref="L8:O8"/>
    <mergeCell ref="P8:P10"/>
    <mergeCell ref="Q8:Q10"/>
    <mergeCell ref="R8:U8"/>
    <mergeCell ref="H9:H10"/>
    <mergeCell ref="I9:J9"/>
    <mergeCell ref="K9:K10"/>
    <mergeCell ref="L9:L10"/>
    <mergeCell ref="M9:N9"/>
    <mergeCell ref="O9:O10"/>
    <mergeCell ref="R9:R10"/>
    <mergeCell ref="S9:U9"/>
    <mergeCell ref="A11:U11"/>
    <mergeCell ref="A12:U12"/>
    <mergeCell ref="B13:U13"/>
    <mergeCell ref="C14:U14"/>
    <mergeCell ref="A15:A16"/>
    <mergeCell ref="B15:B16"/>
    <mergeCell ref="C15:C16"/>
    <mergeCell ref="D15:D16"/>
    <mergeCell ref="E15:E16"/>
    <mergeCell ref="F15:F16"/>
    <mergeCell ref="R15:R16"/>
    <mergeCell ref="A17:A19"/>
    <mergeCell ref="B17:B19"/>
    <mergeCell ref="C17:C19"/>
    <mergeCell ref="D17:D19"/>
    <mergeCell ref="E17:E19"/>
    <mergeCell ref="F17:F19"/>
    <mergeCell ref="R17:R19"/>
    <mergeCell ref="U53:U55"/>
    <mergeCell ref="S45:S46"/>
    <mergeCell ref="T45:T46"/>
    <mergeCell ref="U45:U46"/>
    <mergeCell ref="U48:U50"/>
    <mergeCell ref="T48:T50"/>
    <mergeCell ref="S17:S18"/>
    <mergeCell ref="D21:D22"/>
    <mergeCell ref="S23:S26"/>
    <mergeCell ref="T17:T18"/>
    <mergeCell ref="U17:U18"/>
    <mergeCell ref="R23:R27"/>
    <mergeCell ref="T23:T26"/>
    <mergeCell ref="U23:U26"/>
    <mergeCell ref="B28:B30"/>
    <mergeCell ref="C28:C30"/>
    <mergeCell ref="D28:D30"/>
    <mergeCell ref="E28:E30"/>
    <mergeCell ref="F28:F30"/>
    <mergeCell ref="D23:D27"/>
    <mergeCell ref="E23:E27"/>
    <mergeCell ref="F23:F27"/>
    <mergeCell ref="R34:R36"/>
    <mergeCell ref="S34:S35"/>
    <mergeCell ref="T34:T35"/>
    <mergeCell ref="A23:A27"/>
    <mergeCell ref="B23:B27"/>
    <mergeCell ref="C23:C27"/>
    <mergeCell ref="R28:R30"/>
    <mergeCell ref="S28:S29"/>
    <mergeCell ref="T28:T29"/>
    <mergeCell ref="A28:A30"/>
    <mergeCell ref="R45:R47"/>
    <mergeCell ref="R37:R40"/>
    <mergeCell ref="S48:S50"/>
    <mergeCell ref="U28:U29"/>
    <mergeCell ref="A34:A36"/>
    <mergeCell ref="B34:B36"/>
    <mergeCell ref="C34:C36"/>
    <mergeCell ref="D34:D36"/>
    <mergeCell ref="E34:E36"/>
    <mergeCell ref="F34:F36"/>
    <mergeCell ref="A43:A44"/>
    <mergeCell ref="B43:B44"/>
    <mergeCell ref="C43:C44"/>
    <mergeCell ref="U34:U35"/>
    <mergeCell ref="G124:G125"/>
    <mergeCell ref="H124:H125"/>
    <mergeCell ref="I124:I125"/>
    <mergeCell ref="J124:J125"/>
    <mergeCell ref="K124:K125"/>
    <mergeCell ref="L124:L125"/>
    <mergeCell ref="A48:A52"/>
    <mergeCell ref="B48:B52"/>
    <mergeCell ref="C48:C52"/>
    <mergeCell ref="D48:D52"/>
    <mergeCell ref="E48:E52"/>
    <mergeCell ref="F48:F52"/>
    <mergeCell ref="A37:A40"/>
    <mergeCell ref="B37:B40"/>
    <mergeCell ref="R48:R52"/>
    <mergeCell ref="R43:R44"/>
    <mergeCell ref="A45:A47"/>
    <mergeCell ref="B45:B47"/>
    <mergeCell ref="C45:C47"/>
    <mergeCell ref="D45:D47"/>
    <mergeCell ref="E45:E47"/>
    <mergeCell ref="F45:F47"/>
    <mergeCell ref="A53:A56"/>
    <mergeCell ref="B53:B56"/>
    <mergeCell ref="C53:C56"/>
    <mergeCell ref="D53:D56"/>
    <mergeCell ref="E53:E56"/>
    <mergeCell ref="F53:F56"/>
    <mergeCell ref="C113:U113"/>
    <mergeCell ref="R114:R117"/>
    <mergeCell ref="R53:R56"/>
    <mergeCell ref="A57:A61"/>
    <mergeCell ref="B57:B61"/>
    <mergeCell ref="C57:C61"/>
    <mergeCell ref="D57:D61"/>
    <mergeCell ref="E57:E61"/>
    <mergeCell ref="F57:F61"/>
    <mergeCell ref="R57:R61"/>
    <mergeCell ref="O124:O125"/>
    <mergeCell ref="S163:S165"/>
    <mergeCell ref="D118:D121"/>
    <mergeCell ref="E118:E121"/>
    <mergeCell ref="F118:F121"/>
    <mergeCell ref="F62:F63"/>
    <mergeCell ref="R62:R63"/>
    <mergeCell ref="E64:E66"/>
    <mergeCell ref="F64:F66"/>
    <mergeCell ref="R118:R121"/>
    <mergeCell ref="E62:E63"/>
    <mergeCell ref="R64:R66"/>
    <mergeCell ref="D64:D66"/>
    <mergeCell ref="B118:B121"/>
    <mergeCell ref="C118:C121"/>
    <mergeCell ref="S201:S202"/>
    <mergeCell ref="B201:B203"/>
    <mergeCell ref="C201:C203"/>
    <mergeCell ref="D201:D203"/>
    <mergeCell ref="N124:N125"/>
    <mergeCell ref="C64:C66"/>
    <mergeCell ref="D68:D69"/>
    <mergeCell ref="A62:A63"/>
    <mergeCell ref="B62:B63"/>
    <mergeCell ref="C62:C63"/>
    <mergeCell ref="D62:D63"/>
    <mergeCell ref="A70:A72"/>
    <mergeCell ref="B70:B72"/>
    <mergeCell ref="C70:C72"/>
    <mergeCell ref="D70:D72"/>
    <mergeCell ref="E70:E72"/>
    <mergeCell ref="F70:F72"/>
    <mergeCell ref="A73:A76"/>
    <mergeCell ref="B73:B76"/>
    <mergeCell ref="C73:C76"/>
    <mergeCell ref="D73:D76"/>
    <mergeCell ref="E73:E76"/>
    <mergeCell ref="F73:F76"/>
    <mergeCell ref="C95:C97"/>
    <mergeCell ref="S70:S71"/>
    <mergeCell ref="T70:T71"/>
    <mergeCell ref="U70:U71"/>
    <mergeCell ref="R73:R76"/>
    <mergeCell ref="R70:R72"/>
    <mergeCell ref="G83:K83"/>
    <mergeCell ref="S73:S75"/>
    <mergeCell ref="G82:K82"/>
    <mergeCell ref="U73:U75"/>
    <mergeCell ref="S145:S146"/>
    <mergeCell ref="R173:R176"/>
    <mergeCell ref="S173:S175"/>
    <mergeCell ref="T173:T175"/>
    <mergeCell ref="C98:G98"/>
    <mergeCell ref="C99:U99"/>
    <mergeCell ref="U157:U158"/>
    <mergeCell ref="T163:T165"/>
    <mergeCell ref="U163:U165"/>
    <mergeCell ref="R109:R111"/>
    <mergeCell ref="T153:T155"/>
    <mergeCell ref="S157:S158"/>
    <mergeCell ref="T157:T158"/>
    <mergeCell ref="S122:S125"/>
    <mergeCell ref="U201:U202"/>
    <mergeCell ref="R198:R200"/>
    <mergeCell ref="R201:R203"/>
    <mergeCell ref="S198:S199"/>
    <mergeCell ref="T198:T199"/>
    <mergeCell ref="R145:R147"/>
    <mergeCell ref="C104:C107"/>
    <mergeCell ref="D104:D107"/>
    <mergeCell ref="E104:E107"/>
    <mergeCell ref="F104:F107"/>
    <mergeCell ref="Q124:Q125"/>
    <mergeCell ref="T201:T202"/>
    <mergeCell ref="M124:M125"/>
    <mergeCell ref="S177:S179"/>
    <mergeCell ref="T177:T179"/>
    <mergeCell ref="S153:S155"/>
    <mergeCell ref="A100:A103"/>
    <mergeCell ref="B100:B103"/>
    <mergeCell ref="C100:C103"/>
    <mergeCell ref="R104:R107"/>
    <mergeCell ref="D100:D103"/>
    <mergeCell ref="E100:E103"/>
    <mergeCell ref="F100:F103"/>
    <mergeCell ref="R100:R103"/>
    <mergeCell ref="A104:A107"/>
    <mergeCell ref="B104:B107"/>
    <mergeCell ref="A114:A117"/>
    <mergeCell ref="B114:B117"/>
    <mergeCell ref="C114:C117"/>
    <mergeCell ref="D114:D117"/>
    <mergeCell ref="E114:E117"/>
    <mergeCell ref="F114:F117"/>
    <mergeCell ref="S114:S116"/>
    <mergeCell ref="T114:T116"/>
    <mergeCell ref="A41:A42"/>
    <mergeCell ref="B41:B42"/>
    <mergeCell ref="C41:C42"/>
    <mergeCell ref="D41:D42"/>
    <mergeCell ref="E41:E42"/>
    <mergeCell ref="C112:G112"/>
    <mergeCell ref="A64:A66"/>
    <mergeCell ref="B64:B66"/>
    <mergeCell ref="U114:U116"/>
    <mergeCell ref="A122:A126"/>
    <mergeCell ref="B122:B126"/>
    <mergeCell ref="C122:C126"/>
    <mergeCell ref="D122:D126"/>
    <mergeCell ref="E122:E126"/>
    <mergeCell ref="F122:F126"/>
    <mergeCell ref="R122:R126"/>
    <mergeCell ref="A118:A121"/>
    <mergeCell ref="S118:S120"/>
    <mergeCell ref="A127:A132"/>
    <mergeCell ref="B127:B132"/>
    <mergeCell ref="C127:C132"/>
    <mergeCell ref="D127:D132"/>
    <mergeCell ref="E127:E132"/>
    <mergeCell ref="F127:F132"/>
    <mergeCell ref="A139:A141"/>
    <mergeCell ref="B139:B141"/>
    <mergeCell ref="C139:C141"/>
    <mergeCell ref="D139:D141"/>
    <mergeCell ref="E139:E141"/>
    <mergeCell ref="F139:F141"/>
    <mergeCell ref="U139:U140"/>
    <mergeCell ref="F41:F42"/>
    <mergeCell ref="R41:R42"/>
    <mergeCell ref="S100:S102"/>
    <mergeCell ref="T100:T102"/>
    <mergeCell ref="U100:U102"/>
    <mergeCell ref="R139:R141"/>
    <mergeCell ref="S139:S140"/>
    <mergeCell ref="T122:T125"/>
    <mergeCell ref="R127:R132"/>
    <mergeCell ref="R148:R152"/>
    <mergeCell ref="A145:A147"/>
    <mergeCell ref="B145:B147"/>
    <mergeCell ref="C145:C147"/>
    <mergeCell ref="D145:D147"/>
    <mergeCell ref="E145:E147"/>
    <mergeCell ref="F145:F147"/>
    <mergeCell ref="R153:R156"/>
    <mergeCell ref="U153:U155"/>
    <mergeCell ref="T145:T146"/>
    <mergeCell ref="U145:U146"/>
    <mergeCell ref="A148:A152"/>
    <mergeCell ref="B148:B152"/>
    <mergeCell ref="C148:C152"/>
    <mergeCell ref="D148:D152"/>
    <mergeCell ref="E148:E152"/>
    <mergeCell ref="F148:F152"/>
    <mergeCell ref="A153:A156"/>
    <mergeCell ref="B153:B156"/>
    <mergeCell ref="C153:C156"/>
    <mergeCell ref="D153:D156"/>
    <mergeCell ref="E153:E156"/>
    <mergeCell ref="F153:F156"/>
    <mergeCell ref="A157:A159"/>
    <mergeCell ref="B157:B159"/>
    <mergeCell ref="C157:C159"/>
    <mergeCell ref="D157:D159"/>
    <mergeCell ref="E157:E159"/>
    <mergeCell ref="F157:F159"/>
    <mergeCell ref="R157:R159"/>
    <mergeCell ref="E201:E203"/>
    <mergeCell ref="F201:F203"/>
    <mergeCell ref="A198:A200"/>
    <mergeCell ref="B198:B200"/>
    <mergeCell ref="C198:C200"/>
    <mergeCell ref="D198:D200"/>
    <mergeCell ref="E198:E200"/>
    <mergeCell ref="F198:F200"/>
    <mergeCell ref="A163:A166"/>
    <mergeCell ref="B163:B166"/>
    <mergeCell ref="C163:C166"/>
    <mergeCell ref="D163:D166"/>
    <mergeCell ref="E163:E166"/>
    <mergeCell ref="F163:F166"/>
    <mergeCell ref="R163:R166"/>
    <mergeCell ref="A167:A170"/>
    <mergeCell ref="B167:B170"/>
    <mergeCell ref="C167:C170"/>
    <mergeCell ref="D167:D170"/>
    <mergeCell ref="E167:E170"/>
    <mergeCell ref="F167:F170"/>
    <mergeCell ref="R167:R170"/>
    <mergeCell ref="S167:S169"/>
    <mergeCell ref="T167:T169"/>
    <mergeCell ref="U167:U169"/>
    <mergeCell ref="A171:A172"/>
    <mergeCell ref="B171:B172"/>
    <mergeCell ref="C171:C172"/>
    <mergeCell ref="D171:D172"/>
    <mergeCell ref="E171:E172"/>
    <mergeCell ref="F171:F172"/>
    <mergeCell ref="R171:R172"/>
    <mergeCell ref="C181:G181"/>
    <mergeCell ref="C182:U182"/>
    <mergeCell ref="A196:A197"/>
    <mergeCell ref="B196:B197"/>
    <mergeCell ref="U173:U175"/>
    <mergeCell ref="A183:A185"/>
    <mergeCell ref="B183:B185"/>
    <mergeCell ref="C183:C185"/>
    <mergeCell ref="R177:R180"/>
    <mergeCell ref="D183:D185"/>
    <mergeCell ref="E183:E185"/>
    <mergeCell ref="A207:A210"/>
    <mergeCell ref="B207:B210"/>
    <mergeCell ref="C207:C210"/>
    <mergeCell ref="D207:D210"/>
    <mergeCell ref="E207:E210"/>
    <mergeCell ref="A201:A203"/>
    <mergeCell ref="A204:A206"/>
    <mergeCell ref="B204:B206"/>
    <mergeCell ref="F207:F210"/>
    <mergeCell ref="C213:C216"/>
    <mergeCell ref="D213:D216"/>
    <mergeCell ref="E213:E216"/>
    <mergeCell ref="F213:F216"/>
    <mergeCell ref="C196:C197"/>
    <mergeCell ref="D196:D197"/>
    <mergeCell ref="E196:E197"/>
    <mergeCell ref="F196:F197"/>
    <mergeCell ref="C204:C206"/>
    <mergeCell ref="A243:A246"/>
    <mergeCell ref="B243:B246"/>
    <mergeCell ref="C243:C246"/>
    <mergeCell ref="D243:D246"/>
    <mergeCell ref="E243:E246"/>
    <mergeCell ref="R183:R185"/>
    <mergeCell ref="R207:R210"/>
    <mergeCell ref="R213:R216"/>
    <mergeCell ref="A217:A220"/>
    <mergeCell ref="B217:B220"/>
    <mergeCell ref="A232:A235"/>
    <mergeCell ref="A213:A216"/>
    <mergeCell ref="B213:B216"/>
    <mergeCell ref="C221:G221"/>
    <mergeCell ref="B223:U223"/>
    <mergeCell ref="C224:U224"/>
    <mergeCell ref="C217:C220"/>
    <mergeCell ref="D217:D220"/>
    <mergeCell ref="E217:E220"/>
    <mergeCell ref="F217:F220"/>
    <mergeCell ref="F228:F231"/>
    <mergeCell ref="R228:R231"/>
    <mergeCell ref="F243:F246"/>
    <mergeCell ref="R243:R246"/>
    <mergeCell ref="A225:A227"/>
    <mergeCell ref="B225:B227"/>
    <mergeCell ref="C225:C227"/>
    <mergeCell ref="D225:D227"/>
    <mergeCell ref="E225:E227"/>
    <mergeCell ref="F225:F227"/>
    <mergeCell ref="N228:N229"/>
    <mergeCell ref="M228:M229"/>
    <mergeCell ref="S225:S226"/>
    <mergeCell ref="T225:T226"/>
    <mergeCell ref="U225:U226"/>
    <mergeCell ref="A228:A231"/>
    <mergeCell ref="B228:B231"/>
    <mergeCell ref="C228:C231"/>
    <mergeCell ref="D228:D231"/>
    <mergeCell ref="E228:E231"/>
    <mergeCell ref="E236:E238"/>
    <mergeCell ref="F236:F238"/>
    <mergeCell ref="B232:B235"/>
    <mergeCell ref="C232:C235"/>
    <mergeCell ref="D232:D235"/>
    <mergeCell ref="E232:E235"/>
    <mergeCell ref="F232:F235"/>
    <mergeCell ref="D239:D242"/>
    <mergeCell ref="R239:R242"/>
    <mergeCell ref="T239:T241"/>
    <mergeCell ref="E239:E242"/>
    <mergeCell ref="F239:F242"/>
    <mergeCell ref="A236:A238"/>
    <mergeCell ref="B236:B238"/>
    <mergeCell ref="C236:C238"/>
    <mergeCell ref="D236:D238"/>
    <mergeCell ref="S236:S237"/>
    <mergeCell ref="U239:U241"/>
    <mergeCell ref="A258:A259"/>
    <mergeCell ref="B258:B259"/>
    <mergeCell ref="C258:C259"/>
    <mergeCell ref="D258:D259"/>
    <mergeCell ref="E258:E259"/>
    <mergeCell ref="F258:F259"/>
    <mergeCell ref="R248:R250"/>
    <mergeCell ref="A239:A242"/>
    <mergeCell ref="B239:B242"/>
    <mergeCell ref="C286:G286"/>
    <mergeCell ref="R258:R259"/>
    <mergeCell ref="S239:S241"/>
    <mergeCell ref="R251:R253"/>
    <mergeCell ref="S251:S252"/>
    <mergeCell ref="S248:S249"/>
    <mergeCell ref="E251:E253"/>
    <mergeCell ref="F251:F253"/>
    <mergeCell ref="D251:D253"/>
    <mergeCell ref="C239:C242"/>
    <mergeCell ref="C282:F282"/>
    <mergeCell ref="C260:G260"/>
    <mergeCell ref="B261:G261"/>
    <mergeCell ref="A262:G262"/>
    <mergeCell ref="A265:B286"/>
    <mergeCell ref="C265:F265"/>
    <mergeCell ref="C266:F266"/>
    <mergeCell ref="C267:F267"/>
    <mergeCell ref="C268:F268"/>
    <mergeCell ref="C269:F269"/>
    <mergeCell ref="C284:F284"/>
    <mergeCell ref="C285:F285"/>
    <mergeCell ref="C270:F270"/>
    <mergeCell ref="C271:F271"/>
    <mergeCell ref="C272:F272"/>
    <mergeCell ref="C273:F273"/>
    <mergeCell ref="C274:F274"/>
    <mergeCell ref="C277:F277"/>
    <mergeCell ref="C278:F278"/>
    <mergeCell ref="C279:F279"/>
    <mergeCell ref="S57:S60"/>
    <mergeCell ref="T57:T60"/>
    <mergeCell ref="U57:U60"/>
    <mergeCell ref="S53:S55"/>
    <mergeCell ref="T53:T55"/>
    <mergeCell ref="C283:F283"/>
    <mergeCell ref="C275:F275"/>
    <mergeCell ref="C280:F280"/>
    <mergeCell ref="C276:F276"/>
    <mergeCell ref="C281:F281"/>
    <mergeCell ref="U236:U237"/>
    <mergeCell ref="R225:R227"/>
    <mergeCell ref="R217:R220"/>
    <mergeCell ref="T217:T219"/>
    <mergeCell ref="U217:U219"/>
    <mergeCell ref="S37:S39"/>
    <mergeCell ref="T37:T39"/>
    <mergeCell ref="U37:U39"/>
    <mergeCell ref="S64:S65"/>
    <mergeCell ref="T64:T65"/>
    <mergeCell ref="R211:R212"/>
    <mergeCell ref="S228:S230"/>
    <mergeCell ref="T228:T230"/>
    <mergeCell ref="R236:R238"/>
    <mergeCell ref="T236:T237"/>
    <mergeCell ref="O228:O229"/>
    <mergeCell ref="P228:P229"/>
    <mergeCell ref="R232:R235"/>
    <mergeCell ref="A211:A212"/>
    <mergeCell ref="B211:B212"/>
    <mergeCell ref="C211:C212"/>
    <mergeCell ref="D211:D212"/>
    <mergeCell ref="E211:E212"/>
    <mergeCell ref="F211:F212"/>
    <mergeCell ref="G81:K81"/>
    <mergeCell ref="G84:K84"/>
    <mergeCell ref="T77:T79"/>
    <mergeCell ref="C251:C253"/>
    <mergeCell ref="U243:U245"/>
    <mergeCell ref="U183:U184"/>
    <mergeCell ref="T183:T184"/>
    <mergeCell ref="S183:S184"/>
    <mergeCell ref="T118:T120"/>
    <mergeCell ref="U118:U120"/>
    <mergeCell ref="T139:T140"/>
    <mergeCell ref="B222:G222"/>
    <mergeCell ref="S243:S245"/>
    <mergeCell ref="T243:T245"/>
    <mergeCell ref="U228:U230"/>
    <mergeCell ref="U122:U125"/>
    <mergeCell ref="S127:S131"/>
    <mergeCell ref="T127:T131"/>
    <mergeCell ref="U127:U131"/>
    <mergeCell ref="F183:F185"/>
    <mergeCell ref="U77:U79"/>
    <mergeCell ref="U64:U65"/>
    <mergeCell ref="S104:S106"/>
    <mergeCell ref="T104:T106"/>
    <mergeCell ref="U104:U106"/>
    <mergeCell ref="S95:S96"/>
    <mergeCell ref="T95:T96"/>
    <mergeCell ref="U95:U96"/>
    <mergeCell ref="T73:T75"/>
    <mergeCell ref="S77:S79"/>
    <mergeCell ref="R254:R257"/>
    <mergeCell ref="S254:S256"/>
    <mergeCell ref="T254:T256"/>
    <mergeCell ref="U254:U256"/>
    <mergeCell ref="A254:A257"/>
    <mergeCell ref="B254:B257"/>
    <mergeCell ref="C254:C257"/>
    <mergeCell ref="D254:D257"/>
    <mergeCell ref="E254:E257"/>
    <mergeCell ref="F254:F257"/>
  </mergeCells>
  <conditionalFormatting sqref="A6 A3:A4 V4:IV4">
    <cfRule type="cellIs" dxfId="0" priority="1" stopIfTrue="1" operator="equal">
      <formula>0</formula>
    </cfRule>
  </conditionalFormatting>
  <printOptions horizontalCentered="1"/>
  <pageMargins left="0.39370078740157483" right="0.39370078740157483" top="0.98425196850393704" bottom="0.39370078740157483" header="0.59055118110236227" footer="0.51181102362204722"/>
  <pageSetup paperSize="9" scale="66" firstPageNumber="8" fitToHeight="0" orientation="landscape" useFirstPageNumber="1" r:id="rId1"/>
  <headerFooter alignWithMargins="0">
    <oddHeader>&amp;C&amp;P</oddHeader>
  </headerFooter>
  <rowBreaks count="3" manualBreakCount="3">
    <brk id="36" max="20" man="1"/>
    <brk id="99" max="20" man="1"/>
    <brk id="22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3"/>
  <sheetViews>
    <sheetView zoomScaleNormal="100" workbookViewId="0">
      <selection activeCell="J26" sqref="J26"/>
    </sheetView>
  </sheetViews>
  <sheetFormatPr defaultRowHeight="12.75" x14ac:dyDescent="0.2"/>
  <cols>
    <col min="1" max="1" width="10.7109375" style="4" customWidth="1"/>
    <col min="2" max="3" width="9.85546875" style="4" customWidth="1"/>
    <col min="4" max="4" width="8.7109375" style="4" customWidth="1"/>
    <col min="5" max="5" width="56.85546875" style="4" customWidth="1"/>
    <col min="6" max="6" width="10.28515625" style="4" customWidth="1"/>
    <col min="7" max="7" width="9.5703125" style="4" customWidth="1"/>
    <col min="8" max="8" width="9.85546875" style="4" customWidth="1"/>
    <col min="9" max="9" width="9.5703125" style="4" customWidth="1"/>
    <col min="10" max="16384" width="9.140625" style="4"/>
  </cols>
  <sheetData>
    <row r="1" spans="1:11" ht="43.5" customHeight="1" x14ac:dyDescent="0.2">
      <c r="A1" s="2"/>
      <c r="B1" s="2"/>
      <c r="C1" s="2"/>
      <c r="D1" s="2"/>
      <c r="E1" s="2"/>
      <c r="F1" s="609"/>
      <c r="G1" s="609"/>
      <c r="H1" s="609"/>
      <c r="I1" s="609"/>
      <c r="J1" s="3"/>
      <c r="K1" s="3"/>
    </row>
    <row r="2" spans="1:11" ht="12.75" customHeight="1" x14ac:dyDescent="0.2">
      <c r="A2" s="610" t="s">
        <v>221</v>
      </c>
      <c r="B2" s="610"/>
      <c r="C2" s="610"/>
      <c r="D2" s="610"/>
      <c r="E2" s="610"/>
      <c r="F2" s="610"/>
      <c r="G2" s="610"/>
      <c r="H2" s="610"/>
      <c r="I2" s="610"/>
    </row>
    <row r="3" spans="1:11" ht="18" customHeight="1" x14ac:dyDescent="0.2">
      <c r="A3" s="611" t="s">
        <v>163</v>
      </c>
      <c r="B3" s="611"/>
      <c r="C3" s="611"/>
      <c r="D3" s="611"/>
      <c r="E3" s="611"/>
      <c r="F3" s="611"/>
      <c r="G3" s="611"/>
      <c r="H3" s="611"/>
      <c r="I3" s="611"/>
    </row>
    <row r="4" spans="1:11" ht="18" customHeight="1" x14ac:dyDescent="0.2">
      <c r="A4" s="612" t="s">
        <v>31</v>
      </c>
      <c r="B4" s="613"/>
      <c r="C4" s="613"/>
      <c r="D4" s="613"/>
      <c r="E4" s="613"/>
      <c r="F4" s="613"/>
      <c r="G4" s="613"/>
      <c r="H4" s="613"/>
      <c r="I4" s="613"/>
    </row>
    <row r="5" spans="1:11" s="5" customFormat="1" ht="9.75" customHeight="1" thickBot="1" x14ac:dyDescent="0.3">
      <c r="A5" s="608"/>
      <c r="B5" s="608"/>
      <c r="C5" s="608"/>
      <c r="D5" s="608"/>
      <c r="E5" s="608"/>
      <c r="F5" s="608"/>
      <c r="G5" s="608"/>
      <c r="H5" s="608"/>
      <c r="I5" s="608"/>
    </row>
    <row r="6" spans="1:11" s="6" customFormat="1" ht="36" customHeight="1" thickBot="1" x14ac:dyDescent="0.2">
      <c r="A6" s="305" t="s">
        <v>32</v>
      </c>
      <c r="B6" s="306" t="s">
        <v>33</v>
      </c>
      <c r="C6" s="306" t="s">
        <v>0</v>
      </c>
      <c r="D6" s="306" t="s">
        <v>1</v>
      </c>
      <c r="E6" s="306" t="s">
        <v>34</v>
      </c>
      <c r="F6" s="306" t="s">
        <v>35</v>
      </c>
      <c r="G6" s="306" t="s">
        <v>48</v>
      </c>
      <c r="H6" s="307" t="s">
        <v>49</v>
      </c>
      <c r="I6" s="308" t="s">
        <v>334</v>
      </c>
    </row>
    <row r="7" spans="1:11" s="7" customFormat="1" ht="22.5" x14ac:dyDescent="0.2">
      <c r="A7" s="300">
        <v>3</v>
      </c>
      <c r="B7" s="301">
        <v>3</v>
      </c>
      <c r="C7" s="301">
        <v>1</v>
      </c>
      <c r="D7" s="301"/>
      <c r="E7" s="302" t="s">
        <v>195</v>
      </c>
      <c r="F7" s="302" t="s">
        <v>164</v>
      </c>
      <c r="G7" s="303">
        <v>15</v>
      </c>
      <c r="H7" s="303">
        <v>11</v>
      </c>
      <c r="I7" s="304">
        <v>9</v>
      </c>
    </row>
    <row r="8" spans="1:11" s="7" customFormat="1" x14ac:dyDescent="0.2">
      <c r="A8" s="8">
        <v>3</v>
      </c>
      <c r="B8" s="9">
        <v>3</v>
      </c>
      <c r="C8" s="9">
        <v>1</v>
      </c>
      <c r="D8" s="9"/>
      <c r="E8" s="1" t="s">
        <v>352</v>
      </c>
      <c r="F8" s="1" t="s">
        <v>165</v>
      </c>
      <c r="G8" s="10">
        <v>0</v>
      </c>
      <c r="H8" s="328">
        <v>2.48</v>
      </c>
      <c r="I8" s="327">
        <v>1.25</v>
      </c>
    </row>
    <row r="9" spans="1:11" s="7" customFormat="1" x14ac:dyDescent="0.2">
      <c r="A9" s="8">
        <v>3</v>
      </c>
      <c r="B9" s="9">
        <v>3</v>
      </c>
      <c r="C9" s="9">
        <v>1</v>
      </c>
      <c r="D9" s="9">
        <v>1</v>
      </c>
      <c r="E9" s="24" t="s">
        <v>149</v>
      </c>
      <c r="F9" s="1" t="s">
        <v>168</v>
      </c>
      <c r="G9" s="10">
        <f>'1 lentele'!S16+'1 lentele'!S19+'1 lentele'!S30+'1 lentele'!S36+'1 lentele'!S42+'1 lentele'!S44+'1 lentele'!S66</f>
        <v>0</v>
      </c>
      <c r="H9" s="10">
        <f>'1 lentele'!T16+'1 lentele'!T19+'1 lentele'!T30+'1 lentele'!T36+'1 lentele'!T42+'1 lentele'!T44+'1 lentele'!T66</f>
        <v>1</v>
      </c>
      <c r="I9" s="11">
        <f>'1 lentele'!U16+'1 lentele'!U19+'1 lentele'!U30+'1 lentele'!U36+'1 lentele'!U42+'1 lentele'!U44+'1 lentele'!U66</f>
        <v>5</v>
      </c>
    </row>
    <row r="10" spans="1:11" s="7" customFormat="1" x14ac:dyDescent="0.2">
      <c r="A10" s="8">
        <v>3</v>
      </c>
      <c r="B10" s="9">
        <v>3</v>
      </c>
      <c r="C10" s="9">
        <v>1</v>
      </c>
      <c r="D10" s="9">
        <v>1</v>
      </c>
      <c r="E10" s="24" t="s">
        <v>151</v>
      </c>
      <c r="F10" s="1" t="s">
        <v>169</v>
      </c>
      <c r="G10" s="10">
        <f>'1 lentele'!S27+'1 lentele'!S40+'1 lentele'!S40+'1 lentele'!S47+'1 lentele'!S52+'1 lentele'!S63+'1 lentele'!S80+'1 lentele'!S97</f>
        <v>2</v>
      </c>
      <c r="H10" s="10">
        <f>'1 lentele'!T27+'1 lentele'!T40+'1 lentele'!T40+'1 lentele'!T47+'1 lentele'!T52+'1 lentele'!T63+'1 lentele'!T80+'1 lentele'!T97</f>
        <v>4</v>
      </c>
      <c r="I10" s="11">
        <f>'1 lentele'!U27+'1 lentele'!U40+'1 lentele'!U40+'1 lentele'!U47+'1 lentele'!U52+'1 lentele'!U63+'1 lentele'!U80+'1 lentele'!U97</f>
        <v>7</v>
      </c>
    </row>
    <row r="11" spans="1:11" s="7" customFormat="1" x14ac:dyDescent="0.2">
      <c r="A11" s="8">
        <v>3</v>
      </c>
      <c r="B11" s="9">
        <v>3</v>
      </c>
      <c r="C11" s="9">
        <v>1</v>
      </c>
      <c r="D11" s="9">
        <v>1</v>
      </c>
      <c r="E11" s="24" t="s">
        <v>150</v>
      </c>
      <c r="F11" s="1" t="s">
        <v>170</v>
      </c>
      <c r="G11" s="10">
        <f>'1 lentele'!S76</f>
        <v>1</v>
      </c>
      <c r="H11" s="10">
        <f>'1 lentele'!T76</f>
        <v>0</v>
      </c>
      <c r="I11" s="11">
        <f>'1 lentele'!U76</f>
        <v>0</v>
      </c>
    </row>
    <row r="12" spans="1:11" s="7" customFormat="1" x14ac:dyDescent="0.2">
      <c r="A12" s="8">
        <v>3</v>
      </c>
      <c r="B12" s="9">
        <v>3</v>
      </c>
      <c r="C12" s="9">
        <v>1</v>
      </c>
      <c r="D12" s="9">
        <v>2</v>
      </c>
      <c r="E12" s="1" t="s">
        <v>152</v>
      </c>
      <c r="F12" s="1" t="s">
        <v>171</v>
      </c>
      <c r="G12" s="10">
        <f>'1 lentele'!S103</f>
        <v>6</v>
      </c>
      <c r="H12" s="10">
        <f>'1 lentele'!T103</f>
        <v>0</v>
      </c>
      <c r="I12" s="11">
        <f>'1 lentele'!U103</f>
        <v>0</v>
      </c>
    </row>
    <row r="13" spans="1:11" s="7" customFormat="1" x14ac:dyDescent="0.2">
      <c r="A13" s="8">
        <v>3</v>
      </c>
      <c r="B13" s="9">
        <v>3</v>
      </c>
      <c r="C13" s="9">
        <v>1</v>
      </c>
      <c r="D13" s="9">
        <v>2</v>
      </c>
      <c r="E13" s="24" t="s">
        <v>186</v>
      </c>
      <c r="F13" s="1" t="s">
        <v>193</v>
      </c>
      <c r="G13" s="10">
        <f>'1 lentele'!S107+'1 lentele'!S111</f>
        <v>14</v>
      </c>
      <c r="H13" s="10">
        <f>'1 lentele'!T107+'1 lentele'!T111</f>
        <v>0</v>
      </c>
      <c r="I13" s="11">
        <f>'1 lentele'!U107+'1 lentele'!U111</f>
        <v>0</v>
      </c>
    </row>
    <row r="14" spans="1:11" s="7" customFormat="1" x14ac:dyDescent="0.2">
      <c r="A14" s="8">
        <v>3</v>
      </c>
      <c r="B14" s="9">
        <v>3</v>
      </c>
      <c r="C14" s="9">
        <v>1</v>
      </c>
      <c r="D14" s="9">
        <v>3</v>
      </c>
      <c r="E14" s="1" t="s">
        <v>159</v>
      </c>
      <c r="F14" s="1" t="s">
        <v>172</v>
      </c>
      <c r="G14" s="10">
        <f>'1 lentele'!S117+'1 lentele'!S121+'1 lentele'!S126+'1 lentele'!S132+'1 lentele'!S141+'1 lentele'!S147+'1 lentele'!S152+'1 lentele'!S156+'1 lentele'!S159+'1 lentele'!S166+'1 lentele'!S170+'1 lentele'!S172+'1 lentele'!S176+'1 lentele'!S180</f>
        <v>3</v>
      </c>
      <c r="H14" s="10">
        <f>'1 lentele'!T117+'1 lentele'!T121+'1 lentele'!T126+'1 lentele'!T132+'1 lentele'!T141+'1 lentele'!T147+'1 lentele'!T152+'1 lentele'!T156+'1 lentele'!T159+'1 lentele'!T166+'1 lentele'!T170+'1 lentele'!T172+'1 lentele'!T176+'1 lentele'!T180</f>
        <v>4</v>
      </c>
      <c r="I14" s="11">
        <f>'1 lentele'!U117+'1 lentele'!U121+'1 lentele'!U126+'1 lentele'!U132+'1 lentele'!U141+'1 lentele'!U147+'1 lentele'!U152+'1 lentele'!U156+'1 lentele'!U159+'1 lentele'!U166+'1 lentele'!U170+'1 lentele'!U172+'1 lentele'!U176+'1 lentele'!U180</f>
        <v>3</v>
      </c>
    </row>
    <row r="15" spans="1:11" s="7" customFormat="1" x14ac:dyDescent="0.2">
      <c r="A15" s="8">
        <v>3</v>
      </c>
      <c r="B15" s="9">
        <v>3</v>
      </c>
      <c r="C15" s="9">
        <v>1</v>
      </c>
      <c r="D15" s="9">
        <v>4</v>
      </c>
      <c r="E15" s="1" t="s">
        <v>156</v>
      </c>
      <c r="F15" s="1" t="s">
        <v>173</v>
      </c>
      <c r="G15" s="10">
        <f>'1 lentele'!S185+'1 lentele'!S197+'1 lentele'!S200+'1 lentele'!S203+'1 lentele'!S206+'1 lentele'!S210+'1 lentele'!S212+'1 lentele'!S216+'1 lentele'!S220</f>
        <v>0</v>
      </c>
      <c r="H15" s="10">
        <f>'1 lentele'!T185+'1 lentele'!T197+'1 lentele'!T200+'1 lentele'!T203+'1 lentele'!T206+'1 lentele'!T210+'1 lentele'!T212+'1 lentele'!T216+'1 lentele'!T220</f>
        <v>3</v>
      </c>
      <c r="I15" s="11">
        <f>'1 lentele'!U185+'1 lentele'!U197+'1 lentele'!U200+'1 lentele'!U203+'1 lentele'!U206+'1 lentele'!U210+'1 lentele'!U212+'1 lentele'!U216+'1 lentele'!U220</f>
        <v>2</v>
      </c>
    </row>
    <row r="16" spans="1:11" s="7" customFormat="1" x14ac:dyDescent="0.2">
      <c r="A16" s="8">
        <v>3</v>
      </c>
      <c r="B16" s="9">
        <v>3</v>
      </c>
      <c r="C16" s="9">
        <v>2</v>
      </c>
      <c r="D16" s="9"/>
      <c r="E16" s="1" t="s">
        <v>179</v>
      </c>
      <c r="F16" s="1" t="s">
        <v>166</v>
      </c>
      <c r="G16" s="10">
        <v>3</v>
      </c>
      <c r="H16" s="10">
        <v>0</v>
      </c>
      <c r="I16" s="11">
        <v>0</v>
      </c>
    </row>
    <row r="17" spans="1:9" s="7" customFormat="1" x14ac:dyDescent="0.2">
      <c r="A17" s="8">
        <v>3</v>
      </c>
      <c r="B17" s="9">
        <v>3</v>
      </c>
      <c r="C17" s="9">
        <v>2</v>
      </c>
      <c r="D17" s="9"/>
      <c r="E17" s="1" t="s">
        <v>180</v>
      </c>
      <c r="F17" s="1" t="s">
        <v>167</v>
      </c>
      <c r="G17" s="10">
        <v>60</v>
      </c>
      <c r="H17" s="10">
        <v>70</v>
      </c>
      <c r="I17" s="11">
        <v>80</v>
      </c>
    </row>
    <row r="18" spans="1:9" s="7" customFormat="1" x14ac:dyDescent="0.2">
      <c r="A18" s="8">
        <v>3</v>
      </c>
      <c r="B18" s="9">
        <v>3</v>
      </c>
      <c r="C18" s="9">
        <v>2</v>
      </c>
      <c r="D18" s="9">
        <v>1</v>
      </c>
      <c r="E18" s="1" t="s">
        <v>153</v>
      </c>
      <c r="F18" s="1" t="s">
        <v>174</v>
      </c>
      <c r="G18" s="10">
        <f>'1 lentele'!S231</f>
        <v>85</v>
      </c>
      <c r="H18" s="10">
        <f>'1 lentele'!T231</f>
        <v>0</v>
      </c>
      <c r="I18" s="11">
        <f>'1 lentele'!U231</f>
        <v>0</v>
      </c>
    </row>
    <row r="19" spans="1:9" s="7" customFormat="1" x14ac:dyDescent="0.2">
      <c r="A19" s="8">
        <v>3</v>
      </c>
      <c r="B19" s="9">
        <v>3</v>
      </c>
      <c r="C19" s="9">
        <v>2</v>
      </c>
      <c r="D19" s="9">
        <v>1</v>
      </c>
      <c r="E19" s="1" t="s">
        <v>158</v>
      </c>
      <c r="F19" s="1" t="s">
        <v>175</v>
      </c>
      <c r="G19" s="10">
        <f>'1 lentele'!S235</f>
        <v>1</v>
      </c>
      <c r="H19" s="10">
        <f>'1 lentele'!T235</f>
        <v>0</v>
      </c>
      <c r="I19" s="11">
        <f>'1 lentele'!U235</f>
        <v>0</v>
      </c>
    </row>
    <row r="20" spans="1:9" s="7" customFormat="1" x14ac:dyDescent="0.2">
      <c r="A20" s="8">
        <v>3</v>
      </c>
      <c r="B20" s="9">
        <v>3</v>
      </c>
      <c r="C20" s="9">
        <v>2</v>
      </c>
      <c r="D20" s="9">
        <v>1</v>
      </c>
      <c r="E20" s="1" t="s">
        <v>157</v>
      </c>
      <c r="F20" s="1" t="s">
        <v>176</v>
      </c>
      <c r="G20" s="10">
        <f>'1 lentele'!S242</f>
        <v>1</v>
      </c>
      <c r="H20" s="10">
        <f>'1 lentele'!T242</f>
        <v>0</v>
      </c>
      <c r="I20" s="11">
        <f>'1 lentele'!U242</f>
        <v>0</v>
      </c>
    </row>
    <row r="21" spans="1:9" s="7" customFormat="1" x14ac:dyDescent="0.2">
      <c r="A21" s="8">
        <v>3</v>
      </c>
      <c r="B21" s="9">
        <v>3</v>
      </c>
      <c r="C21" s="9">
        <v>2</v>
      </c>
      <c r="D21" s="9">
        <v>1</v>
      </c>
      <c r="E21" s="1" t="s">
        <v>155</v>
      </c>
      <c r="F21" s="1" t="s">
        <v>177</v>
      </c>
      <c r="G21" s="10">
        <f>'1 lentele'!S238</f>
        <v>1</v>
      </c>
      <c r="H21" s="10">
        <f>'1 lentele'!T238</f>
        <v>0</v>
      </c>
      <c r="I21" s="11">
        <f>'1 lentele'!U238</f>
        <v>0</v>
      </c>
    </row>
    <row r="22" spans="1:9" s="7" customFormat="1" ht="13.5" thickBot="1" x14ac:dyDescent="0.25">
      <c r="A22" s="26">
        <v>3</v>
      </c>
      <c r="B22" s="27">
        <v>3</v>
      </c>
      <c r="C22" s="27">
        <v>2</v>
      </c>
      <c r="D22" s="27">
        <v>1</v>
      </c>
      <c r="E22" s="28" t="s">
        <v>154</v>
      </c>
      <c r="F22" s="28" t="s">
        <v>178</v>
      </c>
      <c r="G22" s="29">
        <f>'1 lentele'!S259</f>
        <v>5</v>
      </c>
      <c r="H22" s="29">
        <f>'1 lentele'!T259</f>
        <v>0</v>
      </c>
      <c r="I22" s="31">
        <f>'1 lentele'!U259</f>
        <v>0</v>
      </c>
    </row>
    <row r="23" spans="1:9" s="7" customFormat="1" x14ac:dyDescent="0.2">
      <c r="A23" s="12"/>
      <c r="B23" s="30"/>
      <c r="C23" s="14"/>
      <c r="D23" s="14"/>
      <c r="E23" s="25"/>
      <c r="F23" s="15"/>
      <c r="G23" s="16"/>
      <c r="H23" s="16"/>
      <c r="I23" s="16"/>
    </row>
    <row r="24" spans="1:9" s="7" customFormat="1" x14ac:dyDescent="0.2">
      <c r="A24" s="12"/>
      <c r="B24" s="13"/>
      <c r="C24" s="14"/>
      <c r="D24" s="14"/>
      <c r="E24" s="25"/>
      <c r="F24" s="15"/>
      <c r="G24" s="16"/>
      <c r="H24" s="16"/>
      <c r="I24" s="16"/>
    </row>
    <row r="25" spans="1:9" s="7" customFormat="1" x14ac:dyDescent="0.2">
      <c r="A25" s="12"/>
      <c r="B25" s="13"/>
      <c r="C25" s="14"/>
      <c r="D25" s="14"/>
      <c r="E25" s="25"/>
      <c r="F25" s="15"/>
      <c r="G25" s="16"/>
      <c r="H25" s="16"/>
      <c r="I25" s="16"/>
    </row>
    <row r="26" spans="1:9" s="7" customFormat="1" x14ac:dyDescent="0.2">
      <c r="A26" s="12"/>
      <c r="B26" s="13"/>
      <c r="C26" s="14"/>
      <c r="D26" s="14"/>
      <c r="E26" s="25"/>
      <c r="F26" s="15"/>
      <c r="G26" s="16"/>
      <c r="H26" s="16"/>
      <c r="I26" s="16"/>
    </row>
    <row r="27" spans="1:9" s="7" customFormat="1" x14ac:dyDescent="0.2">
      <c r="A27" s="12"/>
      <c r="B27" s="13"/>
      <c r="C27" s="14"/>
      <c r="D27" s="14"/>
      <c r="E27" s="15"/>
      <c r="F27" s="15"/>
      <c r="G27" s="16"/>
      <c r="H27" s="16"/>
      <c r="I27" s="16"/>
    </row>
    <row r="28" spans="1:9" s="7" customFormat="1" x14ac:dyDescent="0.2">
      <c r="A28" s="12"/>
      <c r="B28" s="13"/>
      <c r="C28" s="14"/>
      <c r="D28" s="14"/>
      <c r="E28" s="25"/>
      <c r="F28" s="15"/>
      <c r="G28" s="16"/>
      <c r="H28" s="16"/>
      <c r="I28" s="16"/>
    </row>
    <row r="29" spans="1:9" s="7" customFormat="1" x14ac:dyDescent="0.2">
      <c r="A29" s="12"/>
      <c r="B29" s="13"/>
      <c r="C29" s="14"/>
      <c r="D29" s="14"/>
      <c r="E29" s="25"/>
      <c r="F29" s="15"/>
      <c r="G29" s="16"/>
      <c r="H29" s="16"/>
      <c r="I29" s="16"/>
    </row>
    <row r="30" spans="1:9" s="7" customFormat="1" x14ac:dyDescent="0.2">
      <c r="A30" s="12"/>
      <c r="B30" s="13"/>
      <c r="C30" s="14"/>
      <c r="D30" s="14"/>
      <c r="E30" s="25"/>
      <c r="F30" s="15"/>
      <c r="G30" s="16"/>
      <c r="H30" s="16"/>
      <c r="I30" s="16"/>
    </row>
    <row r="31" spans="1:9" s="7" customFormat="1" x14ac:dyDescent="0.2">
      <c r="A31" s="12"/>
      <c r="B31" s="13"/>
      <c r="C31" s="14"/>
      <c r="D31" s="14"/>
      <c r="E31" s="25"/>
      <c r="F31" s="15"/>
      <c r="G31" s="16"/>
      <c r="H31" s="16"/>
      <c r="I31" s="16"/>
    </row>
    <row r="32" spans="1:9" s="7" customFormat="1" x14ac:dyDescent="0.2">
      <c r="A32" s="12"/>
      <c r="B32" s="13"/>
      <c r="C32" s="14"/>
      <c r="D32" s="14"/>
      <c r="E32" s="25"/>
      <c r="F32" s="15"/>
      <c r="G32" s="16"/>
      <c r="H32" s="16"/>
      <c r="I32" s="16"/>
    </row>
    <row r="33" spans="1:9" s="7" customFormat="1" x14ac:dyDescent="0.2">
      <c r="A33" s="12"/>
      <c r="B33" s="13"/>
      <c r="C33" s="14"/>
      <c r="D33" s="14"/>
      <c r="E33" s="25"/>
      <c r="F33" s="15"/>
      <c r="G33" s="16"/>
      <c r="H33" s="16"/>
      <c r="I33" s="16"/>
    </row>
    <row r="34" spans="1:9" s="7" customFormat="1" x14ac:dyDescent="0.2">
      <c r="A34" s="12"/>
      <c r="B34" s="13"/>
      <c r="C34" s="14"/>
      <c r="D34" s="14"/>
      <c r="E34" s="25"/>
      <c r="F34" s="15"/>
      <c r="G34" s="16"/>
      <c r="H34" s="16"/>
      <c r="I34" s="16"/>
    </row>
    <row r="35" spans="1:9" s="7" customFormat="1" x14ac:dyDescent="0.2">
      <c r="A35" s="12"/>
      <c r="B35" s="13"/>
      <c r="C35" s="14"/>
      <c r="D35" s="14"/>
      <c r="E35" s="25"/>
      <c r="F35" s="15"/>
      <c r="G35" s="16"/>
      <c r="H35" s="16"/>
      <c r="I35" s="16"/>
    </row>
    <row r="36" spans="1:9" x14ac:dyDescent="0.2">
      <c r="A36" s="12"/>
      <c r="B36" s="13"/>
      <c r="C36" s="14"/>
      <c r="D36" s="14"/>
      <c r="E36" s="25"/>
      <c r="F36" s="15"/>
      <c r="G36" s="16"/>
      <c r="H36" s="16"/>
      <c r="I36" s="16"/>
    </row>
    <row r="37" spans="1:9" x14ac:dyDescent="0.2">
      <c r="A37" s="12"/>
      <c r="B37" s="13"/>
      <c r="C37" s="14"/>
      <c r="D37" s="14"/>
      <c r="E37" s="17"/>
      <c r="F37" s="15"/>
      <c r="G37" s="16"/>
      <c r="H37" s="16"/>
      <c r="I37" s="16"/>
    </row>
    <row r="38" spans="1:9" x14ac:dyDescent="0.2">
      <c r="A38" s="12"/>
      <c r="B38" s="13"/>
      <c r="C38" s="14"/>
      <c r="D38" s="14"/>
      <c r="E38" s="15"/>
      <c r="F38" s="15"/>
      <c r="G38" s="18"/>
      <c r="H38" s="18"/>
      <c r="I38" s="18"/>
    </row>
    <row r="39" spans="1:9" x14ac:dyDescent="0.2">
      <c r="A39" s="12"/>
      <c r="B39" s="13"/>
      <c r="C39" s="14"/>
      <c r="D39" s="14"/>
      <c r="E39" s="15"/>
      <c r="F39" s="15"/>
      <c r="G39" s="18"/>
      <c r="H39" s="18"/>
      <c r="I39" s="18"/>
    </row>
    <row r="40" spans="1:9" x14ac:dyDescent="0.2">
      <c r="A40" s="12"/>
      <c r="B40" s="13"/>
      <c r="C40" s="14"/>
      <c r="D40" s="14"/>
      <c r="E40" s="15"/>
      <c r="F40" s="15"/>
      <c r="G40" s="18"/>
      <c r="H40" s="18"/>
      <c r="I40" s="18"/>
    </row>
    <row r="41" spans="1:9" x14ac:dyDescent="0.2">
      <c r="A41" s="19"/>
      <c r="B41" s="19"/>
      <c r="C41" s="19"/>
      <c r="D41" s="20"/>
      <c r="E41" s="20"/>
      <c r="F41" s="20"/>
      <c r="G41" s="21"/>
      <c r="H41" s="22"/>
      <c r="I41" s="22"/>
    </row>
    <row r="42" spans="1:9" x14ac:dyDescent="0.2">
      <c r="A42" s="23"/>
      <c r="B42" s="23"/>
      <c r="C42" s="23"/>
      <c r="D42" s="23"/>
      <c r="E42" s="23"/>
      <c r="F42" s="23"/>
    </row>
    <row r="43" spans="1:9" x14ac:dyDescent="0.2">
      <c r="A43" s="23"/>
      <c r="B43" s="23"/>
      <c r="C43" s="23"/>
      <c r="D43" s="23"/>
      <c r="E43" s="23"/>
      <c r="F43" s="23"/>
    </row>
  </sheetData>
  <mergeCells count="5">
    <mergeCell ref="A5:I5"/>
    <mergeCell ref="F1:I1"/>
    <mergeCell ref="A2:I2"/>
    <mergeCell ref="A3:I3"/>
    <mergeCell ref="A4:I4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98" fitToHeight="0" orientation="landscape" r:id="rId1"/>
  <headerFooter alignWithMargins="0">
    <oddHeader>&amp;C&amp;[13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D48"/>
  <sheetViews>
    <sheetView workbookViewId="0">
      <selection sqref="A1:F49"/>
    </sheetView>
  </sheetViews>
  <sheetFormatPr defaultRowHeight="15.75" x14ac:dyDescent="0.2"/>
  <cols>
    <col min="1" max="1" width="9.140625" style="32"/>
    <col min="2" max="2" width="35.5703125" style="32" customWidth="1"/>
    <col min="3" max="3" width="15.28515625" style="32" customWidth="1"/>
    <col min="4" max="4" width="15.5703125" style="32" customWidth="1"/>
    <col min="5" max="5" width="14.28515625" style="32" customWidth="1"/>
    <col min="6" max="6" width="16.140625" style="32" customWidth="1"/>
    <col min="7" max="9" width="9.140625" style="32"/>
    <col min="10" max="10" width="20.28515625" style="32" customWidth="1"/>
    <col min="11" max="16384" width="9.140625" style="32"/>
  </cols>
  <sheetData>
    <row r="3" spans="1:10" ht="15.75" customHeight="1" x14ac:dyDescent="0.2">
      <c r="D3" s="617" t="s">
        <v>257</v>
      </c>
      <c r="E3" s="617"/>
      <c r="F3" s="617"/>
    </row>
    <row r="4" spans="1:10" ht="23.25" customHeight="1" x14ac:dyDescent="0.2">
      <c r="D4" s="617"/>
      <c r="E4" s="617"/>
      <c r="F4" s="617"/>
    </row>
    <row r="5" spans="1:10" ht="17.25" customHeight="1" x14ac:dyDescent="0.2">
      <c r="D5" s="39" t="s">
        <v>219</v>
      </c>
      <c r="E5" s="39"/>
      <c r="F5" s="39"/>
    </row>
    <row r="6" spans="1:10" ht="13.5" customHeight="1" x14ac:dyDescent="0.2"/>
    <row r="7" spans="1:10" ht="56.25" customHeight="1" x14ac:dyDescent="0.2">
      <c r="A7" s="616" t="s">
        <v>329</v>
      </c>
      <c r="B7" s="616"/>
      <c r="C7" s="616"/>
      <c r="D7" s="616"/>
      <c r="E7" s="616"/>
      <c r="F7" s="616"/>
    </row>
    <row r="8" spans="1:10" ht="16.5" thickBot="1" x14ac:dyDescent="0.25">
      <c r="F8" s="32" t="s">
        <v>223</v>
      </c>
    </row>
    <row r="9" spans="1:10" ht="48" thickBot="1" x14ac:dyDescent="0.25">
      <c r="A9" s="324" t="s">
        <v>200</v>
      </c>
      <c r="B9" s="325" t="s">
        <v>201</v>
      </c>
      <c r="C9" s="325" t="s">
        <v>7</v>
      </c>
      <c r="D9" s="325" t="s">
        <v>202</v>
      </c>
      <c r="E9" s="325" t="s">
        <v>203</v>
      </c>
      <c r="F9" s="326" t="s">
        <v>204</v>
      </c>
    </row>
    <row r="10" spans="1:10" ht="94.5" x14ac:dyDescent="0.2">
      <c r="A10" s="319" t="s">
        <v>17</v>
      </c>
      <c r="B10" s="320" t="s">
        <v>337</v>
      </c>
      <c r="C10" s="321">
        <f>D10</f>
        <v>5792</v>
      </c>
      <c r="D10" s="322">
        <f>'1 lentele'!L17</f>
        <v>5792</v>
      </c>
      <c r="E10" s="322">
        <v>0</v>
      </c>
      <c r="F10" s="323">
        <f>D10</f>
        <v>5792</v>
      </c>
      <c r="J10" s="201"/>
    </row>
    <row r="11" spans="1:10" s="35" customFormat="1" ht="63" x14ac:dyDescent="0.2">
      <c r="A11" s="309" t="s">
        <v>18</v>
      </c>
      <c r="B11" s="33" t="s">
        <v>57</v>
      </c>
      <c r="C11" s="160">
        <f t="shared" ref="C11:C47" si="0">D11</f>
        <v>144810</v>
      </c>
      <c r="D11" s="161">
        <f>'1 lentele'!L23</f>
        <v>144810</v>
      </c>
      <c r="E11" s="161">
        <v>0</v>
      </c>
      <c r="F11" s="310">
        <f t="shared" ref="F11:F47" si="1">D11</f>
        <v>144810</v>
      </c>
    </row>
    <row r="12" spans="1:10" s="35" customFormat="1" ht="110.25" x14ac:dyDescent="0.2">
      <c r="A12" s="309" t="s">
        <v>19</v>
      </c>
      <c r="B12" s="33" t="s">
        <v>330</v>
      </c>
      <c r="C12" s="160">
        <f t="shared" si="0"/>
        <v>4344</v>
      </c>
      <c r="D12" s="161">
        <f>'1 lentele'!L28</f>
        <v>4344</v>
      </c>
      <c r="E12" s="161">
        <v>0</v>
      </c>
      <c r="F12" s="310">
        <f t="shared" si="1"/>
        <v>4344</v>
      </c>
    </row>
    <row r="13" spans="1:10" s="35" customFormat="1" ht="47.25" x14ac:dyDescent="0.2">
      <c r="A13" s="309" t="s">
        <v>20</v>
      </c>
      <c r="B13" s="33" t="s">
        <v>67</v>
      </c>
      <c r="C13" s="160">
        <f t="shared" si="0"/>
        <v>84106</v>
      </c>
      <c r="D13" s="161">
        <f>'1 lentele'!L37</f>
        <v>84106</v>
      </c>
      <c r="E13" s="161">
        <v>0</v>
      </c>
      <c r="F13" s="310">
        <f t="shared" si="1"/>
        <v>84106</v>
      </c>
    </row>
    <row r="14" spans="1:10" s="35" customFormat="1" ht="78.75" x14ac:dyDescent="0.2">
      <c r="A14" s="309" t="s">
        <v>21</v>
      </c>
      <c r="B14" s="33" t="s">
        <v>68</v>
      </c>
      <c r="C14" s="160">
        <f t="shared" si="0"/>
        <v>183662</v>
      </c>
      <c r="D14" s="161">
        <f>'1 lentele'!L45</f>
        <v>183662</v>
      </c>
      <c r="E14" s="161">
        <v>0</v>
      </c>
      <c r="F14" s="310">
        <f t="shared" si="1"/>
        <v>183662</v>
      </c>
    </row>
    <row r="15" spans="1:10" s="35" customFormat="1" ht="47.25" x14ac:dyDescent="0.2">
      <c r="A15" s="309" t="s">
        <v>22</v>
      </c>
      <c r="B15" s="33" t="s">
        <v>69</v>
      </c>
      <c r="C15" s="160">
        <f t="shared" si="0"/>
        <v>132501</v>
      </c>
      <c r="D15" s="161">
        <f>'1 lentele'!L48</f>
        <v>132501</v>
      </c>
      <c r="E15" s="161">
        <v>0</v>
      </c>
      <c r="F15" s="310">
        <f t="shared" si="1"/>
        <v>132501</v>
      </c>
    </row>
    <row r="16" spans="1:10" s="35" customFormat="1" ht="63" x14ac:dyDescent="0.2">
      <c r="A16" s="309" t="s">
        <v>52</v>
      </c>
      <c r="B16" s="33" t="s">
        <v>231</v>
      </c>
      <c r="C16" s="160">
        <f t="shared" si="0"/>
        <v>5673</v>
      </c>
      <c r="D16" s="161">
        <f>'1 lentele'!L53</f>
        <v>5673</v>
      </c>
      <c r="E16" s="161">
        <v>0</v>
      </c>
      <c r="F16" s="310">
        <f t="shared" si="1"/>
        <v>5673</v>
      </c>
    </row>
    <row r="17" spans="1:238" s="35" customFormat="1" ht="47.25" x14ac:dyDescent="0.2">
      <c r="A17" s="309" t="s">
        <v>53</v>
      </c>
      <c r="B17" s="33" t="s">
        <v>70</v>
      </c>
      <c r="C17" s="160">
        <f t="shared" si="0"/>
        <v>10137</v>
      </c>
      <c r="D17" s="161">
        <f>'1 lentele'!L57</f>
        <v>10137</v>
      </c>
      <c r="E17" s="161">
        <v>0</v>
      </c>
      <c r="F17" s="310">
        <f t="shared" si="1"/>
        <v>10137</v>
      </c>
    </row>
    <row r="18" spans="1:238" s="35" customFormat="1" ht="110.25" x14ac:dyDescent="0.2">
      <c r="A18" s="309" t="s">
        <v>58</v>
      </c>
      <c r="B18" s="33" t="s">
        <v>331</v>
      </c>
      <c r="C18" s="160">
        <f t="shared" si="0"/>
        <v>30845</v>
      </c>
      <c r="D18" s="161">
        <f>'1 lentele'!L64</f>
        <v>30845</v>
      </c>
      <c r="E18" s="161">
        <v>0</v>
      </c>
      <c r="F18" s="310">
        <f t="shared" si="1"/>
        <v>30845</v>
      </c>
    </row>
    <row r="19" spans="1:238" s="35" customFormat="1" ht="47.25" x14ac:dyDescent="0.2">
      <c r="A19" s="309" t="s">
        <v>59</v>
      </c>
      <c r="B19" s="33" t="s">
        <v>73</v>
      </c>
      <c r="C19" s="160">
        <f t="shared" si="0"/>
        <v>72492</v>
      </c>
      <c r="D19" s="161">
        <f>'1 lentele'!L73</f>
        <v>72492</v>
      </c>
      <c r="E19" s="161">
        <v>0</v>
      </c>
      <c r="F19" s="310">
        <f t="shared" si="1"/>
        <v>72492</v>
      </c>
    </row>
    <row r="20" spans="1:238" s="35" customFormat="1" ht="31.5" x14ac:dyDescent="0.2">
      <c r="A20" s="309" t="s">
        <v>60</v>
      </c>
      <c r="B20" s="33" t="s">
        <v>239</v>
      </c>
      <c r="C20" s="160">
        <f t="shared" si="0"/>
        <v>17377</v>
      </c>
      <c r="D20" s="161">
        <f>'1 lentele'!L77</f>
        <v>17377</v>
      </c>
      <c r="E20" s="161">
        <v>0</v>
      </c>
      <c r="F20" s="310">
        <f t="shared" si="1"/>
        <v>17377</v>
      </c>
    </row>
    <row r="21" spans="1:238" s="35" customFormat="1" ht="47.25" x14ac:dyDescent="0.2">
      <c r="A21" s="309" t="s">
        <v>61</v>
      </c>
      <c r="B21" s="33" t="s">
        <v>74</v>
      </c>
      <c r="C21" s="160">
        <f t="shared" si="0"/>
        <v>38230</v>
      </c>
      <c r="D21" s="161">
        <f>'1 lentele'!L100</f>
        <v>38230</v>
      </c>
      <c r="E21" s="161">
        <v>0</v>
      </c>
      <c r="F21" s="310">
        <f t="shared" si="1"/>
        <v>38230</v>
      </c>
    </row>
    <row r="22" spans="1:238" ht="47.25" x14ac:dyDescent="0.2">
      <c r="A22" s="309" t="s">
        <v>62</v>
      </c>
      <c r="B22" s="33" t="s">
        <v>185</v>
      </c>
      <c r="C22" s="160">
        <f t="shared" si="0"/>
        <v>2107</v>
      </c>
      <c r="D22" s="161">
        <f>'1 lentele'!L104</f>
        <v>2107</v>
      </c>
      <c r="E22" s="161">
        <v>0</v>
      </c>
      <c r="F22" s="310">
        <f t="shared" si="1"/>
        <v>2107</v>
      </c>
      <c r="G22" s="34"/>
      <c r="H22" s="34"/>
    </row>
    <row r="23" spans="1:238" s="35" customFormat="1" ht="63" x14ac:dyDescent="0.2">
      <c r="A23" s="309" t="s">
        <v>63</v>
      </c>
      <c r="B23" s="33" t="s">
        <v>353</v>
      </c>
      <c r="C23" s="160">
        <f t="shared" si="0"/>
        <v>307440</v>
      </c>
      <c r="D23" s="161">
        <f>'1 lentele'!L114</f>
        <v>307440</v>
      </c>
      <c r="E23" s="161">
        <v>0</v>
      </c>
      <c r="F23" s="310">
        <f t="shared" si="1"/>
        <v>307440</v>
      </c>
      <c r="G23" s="37"/>
      <c r="H23" s="36"/>
    </row>
    <row r="24" spans="1:238" s="35" customFormat="1" ht="47.25" x14ac:dyDescent="0.2">
      <c r="A24" s="309" t="s">
        <v>64</v>
      </c>
      <c r="B24" s="33" t="s">
        <v>244</v>
      </c>
      <c r="C24" s="160">
        <f t="shared" si="0"/>
        <v>12947</v>
      </c>
      <c r="D24" s="161">
        <f>'1 lentele'!L118</f>
        <v>12947</v>
      </c>
      <c r="E24" s="161">
        <v>0</v>
      </c>
      <c r="F24" s="310">
        <f t="shared" si="1"/>
        <v>12947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</row>
    <row r="25" spans="1:238" s="35" customFormat="1" ht="47.25" x14ac:dyDescent="0.2">
      <c r="A25" s="309" t="s">
        <v>65</v>
      </c>
      <c r="B25" s="33" t="s">
        <v>75</v>
      </c>
      <c r="C25" s="160">
        <f t="shared" si="0"/>
        <v>181760</v>
      </c>
      <c r="D25" s="161">
        <f>'1 lentele'!L122</f>
        <v>181760</v>
      </c>
      <c r="E25" s="161">
        <v>0</v>
      </c>
      <c r="F25" s="310">
        <f t="shared" si="1"/>
        <v>181760</v>
      </c>
      <c r="G25" s="36"/>
      <c r="H25" s="36"/>
    </row>
    <row r="26" spans="1:238" s="35" customFormat="1" ht="47.25" x14ac:dyDescent="0.2">
      <c r="A26" s="309" t="s">
        <v>66</v>
      </c>
      <c r="B26" s="311" t="s">
        <v>76</v>
      </c>
      <c r="C26" s="160">
        <f t="shared" si="0"/>
        <v>31849</v>
      </c>
      <c r="D26" s="161">
        <f>'1 lentele'!L127</f>
        <v>31849</v>
      </c>
      <c r="E26" s="161">
        <v>0</v>
      </c>
      <c r="F26" s="310">
        <f t="shared" si="1"/>
        <v>31849</v>
      </c>
    </row>
    <row r="27" spans="1:238" s="35" customFormat="1" ht="63" x14ac:dyDescent="0.2">
      <c r="A27" s="309" t="s">
        <v>71</v>
      </c>
      <c r="B27" s="251" t="s">
        <v>345</v>
      </c>
      <c r="C27" s="160">
        <f t="shared" si="0"/>
        <v>4344</v>
      </c>
      <c r="D27" s="161">
        <f>'1 lentele'!L139</f>
        <v>4344</v>
      </c>
      <c r="E27" s="161">
        <v>0</v>
      </c>
      <c r="F27" s="310">
        <f t="shared" si="1"/>
        <v>4344</v>
      </c>
    </row>
    <row r="28" spans="1:238" s="35" customFormat="1" ht="47.25" x14ac:dyDescent="0.2">
      <c r="A28" s="309" t="s">
        <v>72</v>
      </c>
      <c r="B28" s="33" t="s">
        <v>77</v>
      </c>
      <c r="C28" s="160">
        <f t="shared" si="0"/>
        <v>58619</v>
      </c>
      <c r="D28" s="161">
        <f>'1 lentele'!L145</f>
        <v>58619</v>
      </c>
      <c r="E28" s="161">
        <v>0</v>
      </c>
      <c r="F28" s="310">
        <f t="shared" si="1"/>
        <v>58619</v>
      </c>
    </row>
    <row r="29" spans="1:238" s="35" customFormat="1" ht="31.5" x14ac:dyDescent="0.2">
      <c r="A29" s="309" t="s">
        <v>188</v>
      </c>
      <c r="B29" s="33" t="s">
        <v>78</v>
      </c>
      <c r="C29" s="160">
        <f t="shared" si="0"/>
        <v>8707</v>
      </c>
      <c r="D29" s="161">
        <f>'1 lentele'!L148</f>
        <v>8707</v>
      </c>
      <c r="E29" s="161">
        <v>0</v>
      </c>
      <c r="F29" s="310">
        <f t="shared" si="1"/>
        <v>8707</v>
      </c>
    </row>
    <row r="30" spans="1:238" s="35" customFormat="1" ht="31.5" x14ac:dyDescent="0.2">
      <c r="A30" s="309" t="s">
        <v>197</v>
      </c>
      <c r="B30" s="158" t="s">
        <v>235</v>
      </c>
      <c r="C30" s="160">
        <f t="shared" si="0"/>
        <v>14481</v>
      </c>
      <c r="D30" s="161">
        <f>'1 lentele'!L153</f>
        <v>14481</v>
      </c>
      <c r="E30" s="161">
        <v>0</v>
      </c>
      <c r="F30" s="310">
        <f t="shared" si="1"/>
        <v>14481</v>
      </c>
    </row>
    <row r="31" spans="1:238" s="35" customFormat="1" ht="94.5" x14ac:dyDescent="0.2">
      <c r="A31" s="309" t="s">
        <v>205</v>
      </c>
      <c r="B31" s="311" t="s">
        <v>343</v>
      </c>
      <c r="C31" s="160">
        <f t="shared" si="0"/>
        <v>4344</v>
      </c>
      <c r="D31" s="161">
        <f>'1 lentele'!L157</f>
        <v>4344</v>
      </c>
      <c r="E31" s="161">
        <v>0</v>
      </c>
      <c r="F31" s="310">
        <f t="shared" si="1"/>
        <v>4344</v>
      </c>
    </row>
    <row r="32" spans="1:238" s="35" customFormat="1" ht="54.75" customHeight="1" x14ac:dyDescent="0.2">
      <c r="A32" s="309" t="s">
        <v>206</v>
      </c>
      <c r="B32" s="38" t="s">
        <v>81</v>
      </c>
      <c r="C32" s="160">
        <f t="shared" si="0"/>
        <v>69798</v>
      </c>
      <c r="D32" s="161">
        <f>'1 lentele'!L163</f>
        <v>69798</v>
      </c>
      <c r="E32" s="161">
        <v>0</v>
      </c>
      <c r="F32" s="310">
        <f t="shared" si="1"/>
        <v>69798</v>
      </c>
    </row>
    <row r="33" spans="1:6" s="35" customFormat="1" ht="63" x14ac:dyDescent="0.2">
      <c r="A33" s="309" t="s">
        <v>190</v>
      </c>
      <c r="B33" s="311" t="s">
        <v>115</v>
      </c>
      <c r="C33" s="160">
        <f t="shared" si="0"/>
        <v>102486</v>
      </c>
      <c r="D33" s="161">
        <f>'1 lentele'!L167</f>
        <v>102486</v>
      </c>
      <c r="E33" s="161">
        <v>0</v>
      </c>
      <c r="F33" s="310">
        <f t="shared" si="1"/>
        <v>102486</v>
      </c>
    </row>
    <row r="34" spans="1:6" s="35" customFormat="1" ht="87.75" customHeight="1" x14ac:dyDescent="0.2">
      <c r="A34" s="309" t="s">
        <v>207</v>
      </c>
      <c r="B34" s="158" t="s">
        <v>233</v>
      </c>
      <c r="C34" s="160">
        <f t="shared" si="0"/>
        <v>43443</v>
      </c>
      <c r="D34" s="161">
        <f>'1 lentele'!K171</f>
        <v>43443</v>
      </c>
      <c r="E34" s="161">
        <v>0</v>
      </c>
      <c r="F34" s="310">
        <f t="shared" si="1"/>
        <v>43443</v>
      </c>
    </row>
    <row r="35" spans="1:6" s="35" customFormat="1" ht="47.25" x14ac:dyDescent="0.2">
      <c r="A35" s="309" t="s">
        <v>208</v>
      </c>
      <c r="B35" s="33" t="s">
        <v>234</v>
      </c>
      <c r="C35" s="160">
        <f t="shared" si="0"/>
        <v>5000</v>
      </c>
      <c r="D35" s="161">
        <f>'1 lentele'!L173</f>
        <v>5000</v>
      </c>
      <c r="E35" s="161">
        <v>0</v>
      </c>
      <c r="F35" s="310">
        <f t="shared" si="1"/>
        <v>5000</v>
      </c>
    </row>
    <row r="36" spans="1:6" s="35" customFormat="1" ht="47.25" x14ac:dyDescent="0.2">
      <c r="A36" s="309" t="s">
        <v>209</v>
      </c>
      <c r="B36" s="33" t="s">
        <v>256</v>
      </c>
      <c r="C36" s="160">
        <f t="shared" si="0"/>
        <v>15000</v>
      </c>
      <c r="D36" s="161">
        <f>'1 lentele'!L177</f>
        <v>15000</v>
      </c>
      <c r="E36" s="161">
        <v>0</v>
      </c>
      <c r="F36" s="310">
        <f t="shared" si="1"/>
        <v>15000</v>
      </c>
    </row>
    <row r="37" spans="1:6" ht="47.25" x14ac:dyDescent="0.2">
      <c r="A37" s="309" t="s">
        <v>187</v>
      </c>
      <c r="B37" s="33" t="s">
        <v>245</v>
      </c>
      <c r="C37" s="160">
        <f t="shared" si="0"/>
        <v>215000</v>
      </c>
      <c r="D37" s="161">
        <f>'1 lentele'!L183</f>
        <v>215000</v>
      </c>
      <c r="E37" s="161">
        <v>0</v>
      </c>
      <c r="F37" s="310">
        <f t="shared" si="1"/>
        <v>215000</v>
      </c>
    </row>
    <row r="38" spans="1:6" ht="47.25" x14ac:dyDescent="0.2">
      <c r="A38" s="309" t="s">
        <v>210</v>
      </c>
      <c r="B38" s="33" t="s">
        <v>246</v>
      </c>
      <c r="C38" s="160">
        <f t="shared" si="0"/>
        <v>4000</v>
      </c>
      <c r="D38" s="161">
        <f>'1 lentele'!L198</f>
        <v>4000</v>
      </c>
      <c r="E38" s="161">
        <v>0</v>
      </c>
      <c r="F38" s="310">
        <f t="shared" si="1"/>
        <v>4000</v>
      </c>
    </row>
    <row r="39" spans="1:6" s="35" customFormat="1" ht="74.25" customHeight="1" x14ac:dyDescent="0.2">
      <c r="A39" s="309" t="s">
        <v>211</v>
      </c>
      <c r="B39" s="33" t="s">
        <v>328</v>
      </c>
      <c r="C39" s="160">
        <f t="shared" si="0"/>
        <v>3440</v>
      </c>
      <c r="D39" s="161">
        <f>'1 lentele'!L201</f>
        <v>3440</v>
      </c>
      <c r="E39" s="161">
        <v>0</v>
      </c>
      <c r="F39" s="310">
        <f t="shared" si="1"/>
        <v>3440</v>
      </c>
    </row>
    <row r="40" spans="1:6" s="35" customFormat="1" ht="47.25" x14ac:dyDescent="0.2">
      <c r="A40" s="309" t="s">
        <v>212</v>
      </c>
      <c r="B40" s="33" t="s">
        <v>247</v>
      </c>
      <c r="C40" s="160">
        <f t="shared" si="0"/>
        <v>10000</v>
      </c>
      <c r="D40" s="161">
        <f>'1 lentele'!L204</f>
        <v>10000</v>
      </c>
      <c r="E40" s="161">
        <v>0</v>
      </c>
      <c r="F40" s="310">
        <f t="shared" si="1"/>
        <v>10000</v>
      </c>
    </row>
    <row r="41" spans="1:6" ht="47.25" x14ac:dyDescent="0.2">
      <c r="A41" s="309" t="s">
        <v>213</v>
      </c>
      <c r="B41" s="33" t="s">
        <v>249</v>
      </c>
      <c r="C41" s="160">
        <f t="shared" si="0"/>
        <v>4000</v>
      </c>
      <c r="D41" s="161">
        <f>'1 lentele'!L214</f>
        <v>4000</v>
      </c>
      <c r="E41" s="161">
        <v>0</v>
      </c>
      <c r="F41" s="310">
        <f t="shared" si="1"/>
        <v>4000</v>
      </c>
    </row>
    <row r="42" spans="1:6" ht="47.25" x14ac:dyDescent="0.2">
      <c r="A42" s="309" t="s">
        <v>214</v>
      </c>
      <c r="B42" s="33" t="s">
        <v>248</v>
      </c>
      <c r="C42" s="160">
        <f t="shared" si="0"/>
        <v>4000</v>
      </c>
      <c r="D42" s="161">
        <f>'1 lentele'!L218</f>
        <v>4000</v>
      </c>
      <c r="E42" s="161">
        <v>0</v>
      </c>
      <c r="F42" s="310">
        <f t="shared" si="1"/>
        <v>4000</v>
      </c>
    </row>
    <row r="43" spans="1:6" s="35" customFormat="1" ht="31.5" x14ac:dyDescent="0.2">
      <c r="A43" s="309" t="s">
        <v>215</v>
      </c>
      <c r="B43" s="33" t="s">
        <v>82</v>
      </c>
      <c r="C43" s="160">
        <f t="shared" si="0"/>
        <v>18088</v>
      </c>
      <c r="D43" s="161">
        <f>'1 lentele'!L226</f>
        <v>18088</v>
      </c>
      <c r="E43" s="161">
        <v>0</v>
      </c>
      <c r="F43" s="310">
        <f t="shared" si="1"/>
        <v>18088</v>
      </c>
    </row>
    <row r="44" spans="1:6" s="35" customFormat="1" ht="47.25" x14ac:dyDescent="0.2">
      <c r="A44" s="309" t="s">
        <v>216</v>
      </c>
      <c r="B44" s="159" t="s">
        <v>79</v>
      </c>
      <c r="C44" s="160">
        <f t="shared" si="0"/>
        <v>1393</v>
      </c>
      <c r="D44" s="161">
        <f>'1 lentele'!L236</f>
        <v>1393</v>
      </c>
      <c r="E44" s="161">
        <v>0</v>
      </c>
      <c r="F44" s="310">
        <f t="shared" si="1"/>
        <v>1393</v>
      </c>
    </row>
    <row r="45" spans="1:6" s="35" customFormat="1" ht="63" x14ac:dyDescent="0.2">
      <c r="A45" s="309" t="s">
        <v>217</v>
      </c>
      <c r="B45" s="159" t="s">
        <v>83</v>
      </c>
      <c r="C45" s="160">
        <f t="shared" si="0"/>
        <v>22590</v>
      </c>
      <c r="D45" s="161">
        <f>'1 lentele'!L239</f>
        <v>22590</v>
      </c>
      <c r="E45" s="161">
        <v>0</v>
      </c>
      <c r="F45" s="310">
        <f t="shared" si="1"/>
        <v>22590</v>
      </c>
    </row>
    <row r="46" spans="1:6" s="35" customFormat="1" ht="47.25" x14ac:dyDescent="0.2">
      <c r="A46" s="312" t="s">
        <v>218</v>
      </c>
      <c r="B46" s="313" t="s">
        <v>259</v>
      </c>
      <c r="C46" s="314">
        <f t="shared" si="0"/>
        <v>2000</v>
      </c>
      <c r="D46" s="315">
        <f>'1 lentele'!L243</f>
        <v>2000</v>
      </c>
      <c r="E46" s="315">
        <v>0</v>
      </c>
      <c r="F46" s="316">
        <f t="shared" si="1"/>
        <v>2000</v>
      </c>
    </row>
    <row r="47" spans="1:6" s="35" customFormat="1" ht="66" customHeight="1" thickBot="1" x14ac:dyDescent="0.25">
      <c r="A47" s="309" t="s">
        <v>355</v>
      </c>
      <c r="B47" s="313" t="s">
        <v>354</v>
      </c>
      <c r="C47" s="314">
        <f t="shared" si="0"/>
        <v>8707</v>
      </c>
      <c r="D47" s="315">
        <f>'1 lentele'!L254</f>
        <v>8707</v>
      </c>
      <c r="E47" s="315">
        <v>0</v>
      </c>
      <c r="F47" s="316">
        <f t="shared" si="1"/>
        <v>8707</v>
      </c>
    </row>
    <row r="48" spans="1:6" ht="16.5" thickBot="1" x14ac:dyDescent="0.25">
      <c r="A48" s="614" t="s">
        <v>7</v>
      </c>
      <c r="B48" s="615"/>
      <c r="C48" s="317">
        <f>SUM(C10:C47)</f>
        <v>1885512</v>
      </c>
      <c r="D48" s="317">
        <f>SUM(D10:D47)</f>
        <v>1885512</v>
      </c>
      <c r="E48" s="317">
        <f>SUM(E10:E47)</f>
        <v>0</v>
      </c>
      <c r="F48" s="318">
        <f>SUM(F10:F47)</f>
        <v>1885512</v>
      </c>
    </row>
  </sheetData>
  <mergeCells count="3">
    <mergeCell ref="A48:B48"/>
    <mergeCell ref="A7:F7"/>
    <mergeCell ref="D3:F4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2</vt:i4>
      </vt:variant>
    </vt:vector>
  </HeadingPairs>
  <TitlesOfParts>
    <vt:vector size="6" baseType="lpstr">
      <vt:lpstr>1 lent tesinys</vt:lpstr>
      <vt:lpstr>1 lentele</vt:lpstr>
      <vt:lpstr>2 lentele</vt:lpstr>
      <vt:lpstr>Paskola</vt:lpstr>
      <vt:lpstr>'1 lentele'!Print_Area</vt:lpstr>
      <vt:lpstr>'1 lentele'!Print_Titles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V.Balkauskaite</cp:lastModifiedBy>
  <cp:lastPrinted>2015-02-03T18:50:03Z</cp:lastPrinted>
  <dcterms:created xsi:type="dcterms:W3CDTF">1996-10-14T23:33:28Z</dcterms:created>
  <dcterms:modified xsi:type="dcterms:W3CDTF">2015-02-13T09:54:10Z</dcterms:modified>
</cp:coreProperties>
</file>