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gitaj\Downloads\"/>
    </mc:Choice>
  </mc:AlternateContent>
  <bookViews>
    <workbookView xWindow="0" yWindow="0" windowWidth="24000" windowHeight="9735" activeTab="5"/>
  </bookViews>
  <sheets>
    <sheet name="pajamos-1" sheetId="1" r:id="rId1"/>
    <sheet name="sp.p.-2" sheetId="2" r:id="rId2"/>
    <sheet name="ml-3" sheetId="9" r:id="rId3"/>
    <sheet name="vald-4" sheetId="25" r:id="rId4"/>
    <sheet name="asign-5" sheetId="17" r:id="rId5"/>
    <sheet name="prog-6" sheetId="18" r:id="rId6"/>
  </sheets>
  <definedNames>
    <definedName name="_xlnm._FilterDatabase" localSheetId="4" hidden="1">'asign-5'!$A$4:$W$325</definedName>
    <definedName name="_xlnm._FilterDatabase" localSheetId="5" hidden="1">'prog-6'!$A$7:$Y$542</definedName>
    <definedName name="_xlnm.Print_Area" localSheetId="4">'asign-5'!$A$1:$V$161</definedName>
    <definedName name="_xlnm.Print_Area" localSheetId="5">'prog-6'!$A$1:$V$544</definedName>
    <definedName name="_xlnm.Print_Titles" localSheetId="4">'asign-5'!$6:$12</definedName>
    <definedName name="_xlnm.Print_Titles" localSheetId="0">'pajamos-1'!$8:$9</definedName>
    <definedName name="_xlnm.Print_Titles" localSheetId="5">'prog-6'!$8:$13</definedName>
    <definedName name="_xlnm.Print_Titles" localSheetId="1">'sp.p.-2'!$8:$9</definedName>
  </definedNames>
  <calcPr calcId="152511"/>
</workbook>
</file>

<file path=xl/calcChain.xml><?xml version="1.0" encoding="utf-8"?>
<calcChain xmlns="http://schemas.openxmlformats.org/spreadsheetml/2006/main">
  <c r="V65" i="18" l="1"/>
  <c r="U65" i="18"/>
  <c r="T65" i="18"/>
  <c r="S65" i="18"/>
  <c r="K65" i="18"/>
  <c r="J347" i="18" l="1"/>
  <c r="H347" i="18"/>
  <c r="E208" i="18" l="1"/>
  <c r="D325" i="18" l="1"/>
  <c r="D357" i="18" l="1"/>
  <c r="V303" i="18" l="1"/>
  <c r="U303" i="18"/>
  <c r="T303" i="18"/>
  <c r="O303" i="18"/>
  <c r="K303" i="18"/>
  <c r="G303" i="18"/>
  <c r="C303" i="18"/>
  <c r="V302" i="18"/>
  <c r="U302" i="18"/>
  <c r="T302" i="18"/>
  <c r="O302" i="18"/>
  <c r="K302" i="18"/>
  <c r="G302" i="18"/>
  <c r="C302" i="18"/>
  <c r="S302" i="18" l="1"/>
  <c r="S303" i="18"/>
  <c r="K149" i="18" l="1"/>
  <c r="D373" i="18" l="1"/>
  <c r="V155" i="18" l="1"/>
  <c r="U155" i="18"/>
  <c r="T155" i="18"/>
  <c r="O155" i="18"/>
  <c r="K155" i="18"/>
  <c r="G155" i="18"/>
  <c r="C155" i="18"/>
  <c r="F92" i="18"/>
  <c r="R128" i="17"/>
  <c r="Q128" i="17"/>
  <c r="P128" i="17"/>
  <c r="N128" i="17"/>
  <c r="M128" i="17"/>
  <c r="L128" i="17"/>
  <c r="J128" i="17"/>
  <c r="I128" i="17"/>
  <c r="H128" i="17"/>
  <c r="E128" i="17"/>
  <c r="F128" i="17"/>
  <c r="D128" i="17"/>
  <c r="D538" i="18"/>
  <c r="D407" i="18"/>
  <c r="D381" i="18"/>
  <c r="D351" i="18"/>
  <c r="D358" i="18"/>
  <c r="S155" i="18" l="1"/>
  <c r="K128" i="17"/>
  <c r="G128" i="17"/>
  <c r="O128" i="17"/>
  <c r="C128" i="17"/>
  <c r="V60" i="18" l="1"/>
  <c r="U60" i="18"/>
  <c r="T60" i="18"/>
  <c r="O60" i="18"/>
  <c r="K60" i="18"/>
  <c r="G60" i="18"/>
  <c r="C60" i="18"/>
  <c r="S60" i="18" l="1"/>
  <c r="D57" i="18"/>
  <c r="T57" i="18" s="1"/>
  <c r="V57" i="18"/>
  <c r="U57" i="18"/>
  <c r="O57" i="18"/>
  <c r="K57" i="18"/>
  <c r="G57" i="18"/>
  <c r="C57" i="18"/>
  <c r="D53" i="18"/>
  <c r="V56" i="18"/>
  <c r="U56" i="18"/>
  <c r="T56" i="18"/>
  <c r="O56" i="18"/>
  <c r="K56" i="18"/>
  <c r="G56" i="18"/>
  <c r="C56" i="18"/>
  <c r="V55" i="18"/>
  <c r="U55" i="18"/>
  <c r="T55" i="18"/>
  <c r="O55" i="18"/>
  <c r="K55" i="18"/>
  <c r="G55" i="18"/>
  <c r="C55" i="18"/>
  <c r="S57" i="18" l="1"/>
  <c r="S56" i="18"/>
  <c r="S55" i="18"/>
  <c r="V420" i="18"/>
  <c r="U420" i="18"/>
  <c r="T420" i="18"/>
  <c r="O420" i="18"/>
  <c r="K420" i="18"/>
  <c r="G420" i="18"/>
  <c r="C420" i="18"/>
  <c r="V379" i="18"/>
  <c r="U379" i="18"/>
  <c r="T379" i="18"/>
  <c r="O379" i="18"/>
  <c r="K379" i="18"/>
  <c r="G379" i="18"/>
  <c r="C379" i="18"/>
  <c r="V349" i="18"/>
  <c r="U349" i="18"/>
  <c r="T349" i="18"/>
  <c r="O349" i="18"/>
  <c r="K349" i="18"/>
  <c r="G349" i="18"/>
  <c r="C349" i="18"/>
  <c r="S420" i="18" l="1"/>
  <c r="S379" i="18"/>
  <c r="S349" i="18"/>
  <c r="C488" i="18"/>
  <c r="F466" i="18"/>
  <c r="C467" i="18"/>
  <c r="C468" i="18"/>
  <c r="C469" i="18"/>
  <c r="C470" i="18"/>
  <c r="C471" i="18"/>
  <c r="C472" i="18"/>
  <c r="C473" i="18"/>
  <c r="C474" i="18"/>
  <c r="C475" i="18"/>
  <c r="D335" i="18"/>
  <c r="V305" i="18"/>
  <c r="U305" i="18"/>
  <c r="T305" i="18"/>
  <c r="O305" i="18"/>
  <c r="K305" i="18"/>
  <c r="G305" i="18"/>
  <c r="C305" i="18"/>
  <c r="V304" i="18"/>
  <c r="U304" i="18"/>
  <c r="T304" i="18"/>
  <c r="O304" i="18"/>
  <c r="K304" i="18"/>
  <c r="G304" i="18"/>
  <c r="C304" i="18"/>
  <c r="U51" i="18"/>
  <c r="T51" i="18"/>
  <c r="O51" i="18"/>
  <c r="K51" i="18"/>
  <c r="G51" i="18"/>
  <c r="V51" i="18"/>
  <c r="F79" i="18"/>
  <c r="F44" i="18"/>
  <c r="V45" i="18"/>
  <c r="U45" i="18"/>
  <c r="T45" i="18"/>
  <c r="O45" i="18"/>
  <c r="K45" i="18"/>
  <c r="G45" i="18"/>
  <c r="C45" i="18"/>
  <c r="U38" i="18"/>
  <c r="O38" i="18"/>
  <c r="K38" i="18"/>
  <c r="G38" i="18"/>
  <c r="F38" i="18"/>
  <c r="D38" i="18"/>
  <c r="T38" i="18" s="1"/>
  <c r="D29" i="18"/>
  <c r="D25" i="18"/>
  <c r="D16" i="18"/>
  <c r="V38" i="18" l="1"/>
  <c r="S38" i="18" s="1"/>
  <c r="S45" i="18"/>
  <c r="S304" i="18"/>
  <c r="S305" i="18"/>
  <c r="S51" i="18"/>
  <c r="C51" i="18"/>
  <c r="C38" i="18"/>
  <c r="V169" i="18"/>
  <c r="U169" i="18"/>
  <c r="T169" i="18"/>
  <c r="O169" i="18"/>
  <c r="K169" i="18"/>
  <c r="G169" i="18"/>
  <c r="C169" i="18"/>
  <c r="S169" i="18" l="1"/>
  <c r="T161" i="18" l="1"/>
  <c r="U161" i="18"/>
  <c r="V161" i="18"/>
  <c r="T162" i="18"/>
  <c r="U162" i="18"/>
  <c r="V162" i="18"/>
  <c r="T163" i="18"/>
  <c r="U163" i="18"/>
  <c r="V163" i="18"/>
  <c r="T164" i="18"/>
  <c r="U164" i="18"/>
  <c r="V164" i="18"/>
  <c r="T165" i="18"/>
  <c r="U165" i="18"/>
  <c r="V165" i="18"/>
  <c r="T166" i="18"/>
  <c r="U166" i="18"/>
  <c r="V166" i="18"/>
  <c r="U160" i="18"/>
  <c r="V160" i="18"/>
  <c r="T160" i="18"/>
  <c r="T153" i="18"/>
  <c r="U153" i="18"/>
  <c r="V153" i="18"/>
  <c r="T154" i="18"/>
  <c r="U154" i="18"/>
  <c r="V154" i="18"/>
  <c r="T156" i="18"/>
  <c r="U156" i="18"/>
  <c r="V156" i="18"/>
  <c r="T157" i="18"/>
  <c r="U157" i="18"/>
  <c r="V157" i="18"/>
  <c r="T158" i="18"/>
  <c r="U158" i="18"/>
  <c r="V158" i="18"/>
  <c r="U152" i="18"/>
  <c r="V152" i="18"/>
  <c r="T152" i="18"/>
  <c r="T146" i="18"/>
  <c r="U146" i="18"/>
  <c r="V146" i="18"/>
  <c r="T147" i="18"/>
  <c r="U147" i="18"/>
  <c r="V147" i="18"/>
  <c r="T148" i="18"/>
  <c r="U148" i="18"/>
  <c r="V148" i="18"/>
  <c r="T149" i="18"/>
  <c r="U149" i="18"/>
  <c r="V149" i="18"/>
  <c r="T150" i="18"/>
  <c r="U150" i="18"/>
  <c r="V150" i="18"/>
  <c r="T138" i="18"/>
  <c r="U138" i="18"/>
  <c r="V138" i="18"/>
  <c r="T139" i="18"/>
  <c r="U139" i="18"/>
  <c r="V139" i="18"/>
  <c r="T140" i="18"/>
  <c r="U140" i="18"/>
  <c r="V140" i="18"/>
  <c r="T141" i="18"/>
  <c r="U141" i="18"/>
  <c r="V141" i="18"/>
  <c r="T142" i="18"/>
  <c r="U142" i="18"/>
  <c r="V142" i="18"/>
  <c r="T143" i="18"/>
  <c r="U143" i="18"/>
  <c r="V143" i="18"/>
  <c r="T144" i="18"/>
  <c r="U144" i="18"/>
  <c r="V144" i="18"/>
  <c r="U137" i="18"/>
  <c r="V137" i="18"/>
  <c r="T137" i="18"/>
  <c r="T129" i="18"/>
  <c r="U129" i="18"/>
  <c r="V129" i="18"/>
  <c r="T130" i="18"/>
  <c r="U130" i="18"/>
  <c r="V130" i="18"/>
  <c r="T131" i="18"/>
  <c r="U131" i="18"/>
  <c r="V131" i="18"/>
  <c r="T132" i="18"/>
  <c r="U132" i="18"/>
  <c r="V132" i="18"/>
  <c r="T133" i="18"/>
  <c r="U133" i="18"/>
  <c r="V133" i="18"/>
  <c r="T134" i="18"/>
  <c r="U134" i="18"/>
  <c r="V134" i="18"/>
  <c r="T135" i="18"/>
  <c r="U135" i="18"/>
  <c r="V135" i="18"/>
  <c r="U128" i="18"/>
  <c r="V128" i="18"/>
  <c r="T128" i="18"/>
  <c r="T121" i="18"/>
  <c r="U121" i="18"/>
  <c r="V121" i="18"/>
  <c r="T122" i="18"/>
  <c r="U122" i="18"/>
  <c r="V122" i="18"/>
  <c r="T123" i="18"/>
  <c r="U123" i="18"/>
  <c r="V123" i="18"/>
  <c r="T124" i="18"/>
  <c r="U124" i="18"/>
  <c r="V124" i="18"/>
  <c r="T125" i="18"/>
  <c r="U125" i="18"/>
  <c r="V125" i="18"/>
  <c r="T126" i="18"/>
  <c r="U126" i="18"/>
  <c r="V126" i="18"/>
  <c r="U120" i="18"/>
  <c r="V120" i="18"/>
  <c r="T120" i="18"/>
  <c r="T113" i="18" l="1"/>
  <c r="U113" i="18"/>
  <c r="V113" i="18"/>
  <c r="T114" i="18"/>
  <c r="U114" i="18"/>
  <c r="V114" i="18"/>
  <c r="T115" i="18"/>
  <c r="U115" i="18"/>
  <c r="V115" i="18"/>
  <c r="T116" i="18"/>
  <c r="U116" i="18"/>
  <c r="V116" i="18"/>
  <c r="T117" i="18"/>
  <c r="U117" i="18"/>
  <c r="V117" i="18"/>
  <c r="T118" i="18"/>
  <c r="U118" i="18"/>
  <c r="V118" i="18"/>
  <c r="U112" i="18"/>
  <c r="V112" i="18"/>
  <c r="T112" i="18"/>
  <c r="C535" i="18" l="1"/>
  <c r="C531" i="18"/>
  <c r="C527" i="18"/>
  <c r="C523" i="18"/>
  <c r="C519" i="18"/>
  <c r="C515" i="18"/>
  <c r="C511" i="18"/>
  <c r="C507" i="18"/>
  <c r="C503" i="18"/>
  <c r="C499" i="18"/>
  <c r="H474" i="18"/>
  <c r="T496" i="18"/>
  <c r="U496" i="18"/>
  <c r="V496" i="18"/>
  <c r="T495" i="18"/>
  <c r="U495" i="18"/>
  <c r="V495" i="18"/>
  <c r="D494" i="18"/>
  <c r="C496" i="18"/>
  <c r="T104" i="18"/>
  <c r="U104" i="18"/>
  <c r="V104" i="18"/>
  <c r="T105" i="18"/>
  <c r="U105" i="18"/>
  <c r="V105" i="18"/>
  <c r="T106" i="18"/>
  <c r="U106" i="18"/>
  <c r="V106" i="18"/>
  <c r="T107" i="18"/>
  <c r="U107" i="18"/>
  <c r="V107" i="18"/>
  <c r="T108" i="18"/>
  <c r="U108" i="18"/>
  <c r="V108" i="18"/>
  <c r="T109" i="18"/>
  <c r="U109" i="18"/>
  <c r="V109" i="18"/>
  <c r="T110" i="18"/>
  <c r="U110" i="18"/>
  <c r="V110" i="18"/>
  <c r="U103" i="18"/>
  <c r="V103" i="18"/>
  <c r="T103" i="18"/>
  <c r="V494" i="18" l="1"/>
  <c r="T494" i="18"/>
  <c r="U494" i="18"/>
  <c r="S496" i="18"/>
  <c r="T95" i="18"/>
  <c r="U95" i="18"/>
  <c r="V95" i="18"/>
  <c r="T96" i="18"/>
  <c r="U96" i="18"/>
  <c r="V96" i="18"/>
  <c r="T97" i="18"/>
  <c r="U97" i="18"/>
  <c r="V97" i="18"/>
  <c r="T98" i="18"/>
  <c r="U98" i="18"/>
  <c r="V98" i="18"/>
  <c r="T99" i="18"/>
  <c r="U99" i="18"/>
  <c r="V99" i="18"/>
  <c r="T100" i="18"/>
  <c r="U100" i="18"/>
  <c r="V100" i="18"/>
  <c r="T101" i="18"/>
  <c r="U101" i="18"/>
  <c r="V101" i="18"/>
  <c r="U94" i="18"/>
  <c r="V94" i="18"/>
  <c r="T94" i="18"/>
  <c r="T87" i="18"/>
  <c r="U87" i="18"/>
  <c r="V87" i="18"/>
  <c r="T88" i="18"/>
  <c r="U88" i="18"/>
  <c r="V88" i="18"/>
  <c r="T89" i="18"/>
  <c r="U89" i="18"/>
  <c r="V89" i="18"/>
  <c r="T90" i="18"/>
  <c r="U90" i="18"/>
  <c r="V90" i="18"/>
  <c r="T91" i="18"/>
  <c r="U91" i="18"/>
  <c r="V91" i="18"/>
  <c r="T92" i="18"/>
  <c r="U92" i="18"/>
  <c r="V92" i="18"/>
  <c r="U86" i="18"/>
  <c r="V86" i="18"/>
  <c r="T86" i="18"/>
  <c r="V536" i="18"/>
  <c r="U536" i="18"/>
  <c r="T536" i="18"/>
  <c r="V534" i="18"/>
  <c r="U534" i="18"/>
  <c r="T534" i="18"/>
  <c r="V532" i="18"/>
  <c r="U532" i="18"/>
  <c r="T532" i="18"/>
  <c r="V530" i="18"/>
  <c r="U530" i="18"/>
  <c r="T530" i="18"/>
  <c r="V528" i="18"/>
  <c r="U528" i="18"/>
  <c r="T528" i="18"/>
  <c r="V526" i="18"/>
  <c r="U526" i="18"/>
  <c r="T526" i="18"/>
  <c r="V524" i="18"/>
  <c r="U524" i="18"/>
  <c r="T524" i="18"/>
  <c r="V522" i="18"/>
  <c r="U522" i="18"/>
  <c r="T522" i="18"/>
  <c r="V520" i="18"/>
  <c r="U520" i="18"/>
  <c r="T520" i="18"/>
  <c r="V518" i="18"/>
  <c r="U518" i="18"/>
  <c r="T518" i="18"/>
  <c r="V516" i="18"/>
  <c r="U516" i="18"/>
  <c r="T516" i="18"/>
  <c r="V514" i="18"/>
  <c r="U514" i="18"/>
  <c r="T514" i="18"/>
  <c r="V512" i="18"/>
  <c r="U512" i="18"/>
  <c r="T512" i="18"/>
  <c r="V510" i="18"/>
  <c r="U510" i="18"/>
  <c r="T510" i="18"/>
  <c r="V508" i="18"/>
  <c r="U508" i="18"/>
  <c r="T508" i="18"/>
  <c r="V506" i="18"/>
  <c r="U506" i="18"/>
  <c r="T506" i="18"/>
  <c r="V504" i="18"/>
  <c r="U504" i="18"/>
  <c r="T504" i="18"/>
  <c r="V502" i="18"/>
  <c r="U502" i="18"/>
  <c r="T502" i="18"/>
  <c r="V500" i="18"/>
  <c r="U500" i="18"/>
  <c r="T500" i="18"/>
  <c r="V498" i="18"/>
  <c r="U498" i="18"/>
  <c r="T498" i="18"/>
  <c r="V535" i="18"/>
  <c r="U535" i="18"/>
  <c r="T535" i="18"/>
  <c r="S535" i="18" s="1"/>
  <c r="G535" i="18"/>
  <c r="V531" i="18"/>
  <c r="U531" i="18"/>
  <c r="T531" i="18"/>
  <c r="S531" i="18" s="1"/>
  <c r="G531" i="18"/>
  <c r="V527" i="18"/>
  <c r="U527" i="18"/>
  <c r="T527" i="18"/>
  <c r="S527" i="18" s="1"/>
  <c r="G527" i="18"/>
  <c r="V523" i="18"/>
  <c r="U523" i="18"/>
  <c r="T523" i="18"/>
  <c r="S523" i="18" s="1"/>
  <c r="G523" i="18"/>
  <c r="V519" i="18"/>
  <c r="U519" i="18"/>
  <c r="T519" i="18"/>
  <c r="G519" i="18"/>
  <c r="V515" i="18"/>
  <c r="U515" i="18"/>
  <c r="T515" i="18"/>
  <c r="S515" i="18" s="1"/>
  <c r="G515" i="18"/>
  <c r="V511" i="18"/>
  <c r="U511" i="18"/>
  <c r="T511" i="18"/>
  <c r="S511" i="18" s="1"/>
  <c r="G511" i="18"/>
  <c r="V507" i="18"/>
  <c r="U507" i="18"/>
  <c r="T507" i="18"/>
  <c r="G507" i="18"/>
  <c r="V503" i="18"/>
  <c r="U503" i="18"/>
  <c r="T503" i="18"/>
  <c r="G503" i="18"/>
  <c r="V499" i="18"/>
  <c r="U499" i="18"/>
  <c r="T499" i="18"/>
  <c r="G499" i="18"/>
  <c r="T297" i="18"/>
  <c r="U297" i="18"/>
  <c r="V297" i="18"/>
  <c r="U296" i="18"/>
  <c r="V296" i="18"/>
  <c r="T296" i="18"/>
  <c r="V295" i="18"/>
  <c r="U294" i="18"/>
  <c r="V294" i="18"/>
  <c r="T294" i="18"/>
  <c r="T292" i="18"/>
  <c r="U292" i="18"/>
  <c r="V292" i="18"/>
  <c r="U291" i="18"/>
  <c r="V291" i="18"/>
  <c r="T291" i="18"/>
  <c r="T290" i="18"/>
  <c r="V290" i="18"/>
  <c r="U289" i="18"/>
  <c r="V289" i="18"/>
  <c r="T289" i="18"/>
  <c r="T278" i="18"/>
  <c r="U278" i="18"/>
  <c r="V278" i="18"/>
  <c r="T279" i="18"/>
  <c r="U279" i="18"/>
  <c r="V279" i="18"/>
  <c r="T280" i="18"/>
  <c r="U280" i="18"/>
  <c r="V280" i="18"/>
  <c r="T281" i="18"/>
  <c r="U281" i="18"/>
  <c r="V281" i="18"/>
  <c r="T282" i="18"/>
  <c r="U282" i="18"/>
  <c r="V282" i="18"/>
  <c r="T283" i="18"/>
  <c r="U283" i="18"/>
  <c r="V283" i="18"/>
  <c r="T284" i="18"/>
  <c r="U284" i="18"/>
  <c r="V284" i="18"/>
  <c r="T285" i="18"/>
  <c r="U285" i="18"/>
  <c r="V285" i="18"/>
  <c r="T286" i="18"/>
  <c r="U286" i="18"/>
  <c r="V286" i="18"/>
  <c r="T287" i="18"/>
  <c r="U287" i="18"/>
  <c r="V287" i="18"/>
  <c r="U277" i="18"/>
  <c r="V277" i="18"/>
  <c r="T277" i="18"/>
  <c r="E295" i="18"/>
  <c r="U295" i="18" s="1"/>
  <c r="D295" i="18"/>
  <c r="T295" i="18" s="1"/>
  <c r="T382" i="18"/>
  <c r="S382" i="18" s="1"/>
  <c r="I369" i="18"/>
  <c r="E372" i="18"/>
  <c r="D372" i="18"/>
  <c r="E365" i="18"/>
  <c r="D365" i="18"/>
  <c r="I362" i="18"/>
  <c r="S499" i="18" l="1"/>
  <c r="S503" i="18"/>
  <c r="S507" i="18"/>
  <c r="S519" i="18"/>
  <c r="I354" i="18"/>
  <c r="E357" i="18"/>
  <c r="E218" i="18"/>
  <c r="D218" i="18"/>
  <c r="E221" i="18"/>
  <c r="V17" i="18" l="1"/>
  <c r="U17" i="18"/>
  <c r="O17" i="18"/>
  <c r="K17" i="18"/>
  <c r="G17" i="18"/>
  <c r="C17" i="18"/>
  <c r="T17" i="18" l="1"/>
  <c r="S17" i="18" s="1"/>
  <c r="E250" i="18" l="1"/>
  <c r="D250" i="18"/>
  <c r="E290" i="18" l="1"/>
  <c r="U290" i="18" s="1"/>
  <c r="H306" i="18" l="1"/>
  <c r="J327" i="18"/>
  <c r="H261" i="18"/>
  <c r="H181" i="18"/>
  <c r="H315" i="18"/>
  <c r="H314" i="18"/>
  <c r="J331" i="18"/>
  <c r="J328" i="18"/>
  <c r="I328" i="18"/>
  <c r="H328" i="18"/>
  <c r="I327" i="18"/>
  <c r="H327" i="18"/>
  <c r="H307" i="18"/>
  <c r="J257" i="18"/>
  <c r="I255" i="18"/>
  <c r="H255" i="18"/>
  <c r="H252" i="18"/>
  <c r="H251" i="18"/>
  <c r="J48" i="18"/>
  <c r="J47" i="18"/>
  <c r="J73" i="18"/>
  <c r="J72" i="18"/>
  <c r="J70" i="18"/>
  <c r="J30" i="18"/>
  <c r="J213" i="18" l="1"/>
  <c r="E260" i="18" l="1"/>
  <c r="D260" i="18"/>
  <c r="V267" i="18"/>
  <c r="V266" i="18"/>
  <c r="V265" i="18"/>
  <c r="T266" i="18"/>
  <c r="U266" i="18"/>
  <c r="U265" i="18"/>
  <c r="T265" i="18"/>
  <c r="E267" i="18"/>
  <c r="U267" i="18" s="1"/>
  <c r="D267" i="18"/>
  <c r="T267" i="18" s="1"/>
  <c r="E214" i="18"/>
  <c r="D214" i="18"/>
  <c r="V276" i="18"/>
  <c r="V275" i="18"/>
  <c r="V273" i="18"/>
  <c r="V272" i="18"/>
  <c r="V271" i="18"/>
  <c r="V270" i="18"/>
  <c r="V269" i="18"/>
  <c r="T270" i="18"/>
  <c r="U270" i="18"/>
  <c r="T271" i="18"/>
  <c r="U271" i="18"/>
  <c r="T272" i="18"/>
  <c r="U272" i="18"/>
  <c r="T274" i="18"/>
  <c r="S274" i="18" s="1"/>
  <c r="U274" i="18"/>
  <c r="T275" i="18"/>
  <c r="U275" i="18"/>
  <c r="T276" i="18"/>
  <c r="U276" i="18"/>
  <c r="U269" i="18"/>
  <c r="T269" i="18"/>
  <c r="E273" i="18"/>
  <c r="U273" i="18" s="1"/>
  <c r="D273" i="18"/>
  <c r="T273" i="18" s="1"/>
  <c r="V433" i="18"/>
  <c r="U433" i="18"/>
  <c r="T433" i="18"/>
  <c r="S433" i="18" s="1"/>
  <c r="G433" i="18"/>
  <c r="V419" i="18"/>
  <c r="U419" i="18"/>
  <c r="T419" i="18"/>
  <c r="S419" i="18" s="1"/>
  <c r="G419" i="18"/>
  <c r="V413" i="18"/>
  <c r="U413" i="18"/>
  <c r="T413" i="18"/>
  <c r="S413" i="18" s="1"/>
  <c r="G413" i="18"/>
  <c r="V405" i="18"/>
  <c r="U405" i="18"/>
  <c r="T405" i="18"/>
  <c r="S405" i="18" s="1"/>
  <c r="G405" i="18"/>
  <c r="V398" i="18"/>
  <c r="U398" i="18"/>
  <c r="T398" i="18"/>
  <c r="S398" i="18" s="1"/>
  <c r="G398" i="18"/>
  <c r="V387" i="18"/>
  <c r="U387" i="18"/>
  <c r="T387" i="18"/>
  <c r="G387" i="18"/>
  <c r="V378" i="18"/>
  <c r="U378" i="18"/>
  <c r="T378" i="18"/>
  <c r="G378" i="18"/>
  <c r="V371" i="18"/>
  <c r="U371" i="18"/>
  <c r="T371" i="18"/>
  <c r="S371" i="18" s="1"/>
  <c r="G371" i="18"/>
  <c r="V364" i="18"/>
  <c r="U364" i="18"/>
  <c r="T364" i="18"/>
  <c r="G364" i="18"/>
  <c r="V356" i="18"/>
  <c r="U356" i="18"/>
  <c r="T356" i="18"/>
  <c r="G356" i="18"/>
  <c r="V348" i="18"/>
  <c r="U348" i="18"/>
  <c r="T348" i="18"/>
  <c r="G348" i="18"/>
  <c r="V340" i="18"/>
  <c r="U340" i="18"/>
  <c r="T340" i="18"/>
  <c r="G340" i="18"/>
  <c r="D221" i="18"/>
  <c r="E211" i="18"/>
  <c r="D211" i="18"/>
  <c r="D208" i="18"/>
  <c r="E205" i="18"/>
  <c r="D205" i="18"/>
  <c r="E202" i="18"/>
  <c r="D202" i="18"/>
  <c r="E199" i="18"/>
  <c r="D199" i="18"/>
  <c r="C196" i="18"/>
  <c r="S340" i="18" l="1"/>
  <c r="S348" i="18"/>
  <c r="S356" i="18"/>
  <c r="S364" i="18"/>
  <c r="S378" i="18"/>
  <c r="S387" i="18"/>
  <c r="E195" i="18"/>
  <c r="D195" i="18"/>
  <c r="V192" i="18"/>
  <c r="U192" i="18"/>
  <c r="T192" i="18"/>
  <c r="S192" i="18" s="1"/>
  <c r="O192" i="18"/>
  <c r="K192" i="18"/>
  <c r="G192" i="18"/>
  <c r="C192" i="18"/>
  <c r="D79" i="18"/>
  <c r="V61" i="18"/>
  <c r="U61" i="18"/>
  <c r="T61" i="18"/>
  <c r="S61" i="18" s="1"/>
  <c r="O61" i="18"/>
  <c r="K61" i="18"/>
  <c r="G61" i="18"/>
  <c r="C61" i="18"/>
  <c r="D58" i="18"/>
  <c r="C66" i="18"/>
  <c r="D41" i="18"/>
  <c r="V42" i="18"/>
  <c r="U42" i="18"/>
  <c r="T42" i="18"/>
  <c r="O42" i="18"/>
  <c r="K42" i="18"/>
  <c r="G42" i="18"/>
  <c r="C42" i="18"/>
  <c r="H32" i="9"/>
  <c r="G32" i="9"/>
  <c r="F32" i="9"/>
  <c r="E32" i="9"/>
  <c r="D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S42" i="18" l="1"/>
  <c r="C32" i="9"/>
  <c r="V537" i="18" l="1"/>
  <c r="U537" i="18"/>
  <c r="T537" i="18"/>
  <c r="V538" i="18"/>
  <c r="U538" i="18"/>
  <c r="T538" i="18"/>
  <c r="I264" i="18"/>
  <c r="J264" i="18"/>
  <c r="H264" i="18"/>
  <c r="O188" i="18" l="1"/>
  <c r="T188" i="18"/>
  <c r="U188" i="18"/>
  <c r="V188" i="18"/>
  <c r="S188" i="18" l="1"/>
  <c r="I34" i="18" l="1"/>
  <c r="J34" i="18"/>
  <c r="H34" i="18"/>
  <c r="V35" i="18"/>
  <c r="U35" i="18"/>
  <c r="T35" i="18"/>
  <c r="O35" i="18"/>
  <c r="K35" i="18"/>
  <c r="G35" i="18"/>
  <c r="C35" i="18"/>
  <c r="U541" i="18"/>
  <c r="T541" i="18"/>
  <c r="F541" i="18"/>
  <c r="V477" i="18"/>
  <c r="U477" i="18"/>
  <c r="T477" i="18"/>
  <c r="S477" i="18" s="1"/>
  <c r="O477" i="18"/>
  <c r="K477" i="18"/>
  <c r="G477" i="18"/>
  <c r="C477" i="18"/>
  <c r="V323" i="18"/>
  <c r="U323" i="18"/>
  <c r="T323" i="18"/>
  <c r="S323" i="18"/>
  <c r="O323" i="18"/>
  <c r="K323" i="18"/>
  <c r="G323" i="18"/>
  <c r="C323" i="18"/>
  <c r="V460" i="18"/>
  <c r="U460" i="18"/>
  <c r="T460" i="18"/>
  <c r="V459" i="18"/>
  <c r="U459" i="18"/>
  <c r="T459" i="18"/>
  <c r="V458" i="18"/>
  <c r="U458" i="18"/>
  <c r="T458" i="18"/>
  <c r="V457" i="18"/>
  <c r="U457" i="18"/>
  <c r="T457" i="18"/>
  <c r="V456" i="18"/>
  <c r="U456" i="18"/>
  <c r="T456" i="18"/>
  <c r="V454" i="18"/>
  <c r="U454" i="18"/>
  <c r="T454" i="18"/>
  <c r="V453" i="18"/>
  <c r="U453" i="18"/>
  <c r="T453" i="18"/>
  <c r="V452" i="18"/>
  <c r="U452" i="18"/>
  <c r="T452" i="18"/>
  <c r="V450" i="18"/>
  <c r="U450" i="18"/>
  <c r="T450" i="18"/>
  <c r="V449" i="18"/>
  <c r="U449" i="18"/>
  <c r="T449" i="18"/>
  <c r="V448" i="18"/>
  <c r="U448" i="18"/>
  <c r="T448" i="18"/>
  <c r="V446" i="18"/>
  <c r="U446" i="18"/>
  <c r="T446" i="18"/>
  <c r="S446" i="18" s="1"/>
  <c r="V445" i="18"/>
  <c r="U445" i="18"/>
  <c r="T445" i="18"/>
  <c r="V444" i="18"/>
  <c r="U444" i="18"/>
  <c r="T444" i="18"/>
  <c r="V443" i="18"/>
  <c r="U443" i="18"/>
  <c r="T443" i="18"/>
  <c r="V441" i="18"/>
  <c r="U441" i="18"/>
  <c r="T441" i="18"/>
  <c r="V440" i="18"/>
  <c r="U440" i="18"/>
  <c r="T440" i="18"/>
  <c r="V439" i="18"/>
  <c r="U439" i="18"/>
  <c r="T439" i="18"/>
  <c r="V438" i="18"/>
  <c r="U438" i="18"/>
  <c r="T438" i="18"/>
  <c r="V436" i="18"/>
  <c r="U436" i="18"/>
  <c r="T436" i="18"/>
  <c r="S436" i="18" s="1"/>
  <c r="V435" i="18"/>
  <c r="U435" i="18"/>
  <c r="T435" i="18"/>
  <c r="S435" i="18"/>
  <c r="V434" i="18"/>
  <c r="U434" i="18"/>
  <c r="T434" i="18"/>
  <c r="V432" i="18"/>
  <c r="U432" i="18"/>
  <c r="T432" i="18"/>
  <c r="V431" i="18"/>
  <c r="U431" i="18"/>
  <c r="T431" i="18"/>
  <c r="V429" i="18"/>
  <c r="U429" i="18"/>
  <c r="T429" i="18"/>
  <c r="V428" i="18"/>
  <c r="U428" i="18"/>
  <c r="T428" i="18"/>
  <c r="V427" i="18"/>
  <c r="U427" i="18"/>
  <c r="T427" i="18"/>
  <c r="V426" i="18"/>
  <c r="U426" i="18"/>
  <c r="T426" i="18"/>
  <c r="V425" i="18"/>
  <c r="U425" i="18"/>
  <c r="T425" i="18"/>
  <c r="V423" i="18"/>
  <c r="U423" i="18"/>
  <c r="T423" i="18"/>
  <c r="V422" i="18"/>
  <c r="U422" i="18"/>
  <c r="T422" i="18"/>
  <c r="V421" i="18"/>
  <c r="U421" i="18"/>
  <c r="T421" i="18"/>
  <c r="V418" i="18"/>
  <c r="U418" i="18"/>
  <c r="T418" i="18"/>
  <c r="V417" i="18"/>
  <c r="U417" i="18"/>
  <c r="T417" i="18"/>
  <c r="V415" i="18"/>
  <c r="U415" i="18"/>
  <c r="T415" i="18"/>
  <c r="V414" i="18"/>
  <c r="U414" i="18"/>
  <c r="T414" i="18"/>
  <c r="V412" i="18"/>
  <c r="U412" i="18"/>
  <c r="T412" i="18"/>
  <c r="V411" i="18"/>
  <c r="U411" i="18"/>
  <c r="T411" i="18"/>
  <c r="V409" i="18"/>
  <c r="U409" i="18"/>
  <c r="T409" i="18"/>
  <c r="V408" i="18"/>
  <c r="U408" i="18"/>
  <c r="T408" i="18"/>
  <c r="V407" i="18"/>
  <c r="U407" i="18"/>
  <c r="T407" i="18"/>
  <c r="V406" i="18"/>
  <c r="U406" i="18"/>
  <c r="T406" i="18"/>
  <c r="V404" i="18"/>
  <c r="U404" i="18"/>
  <c r="T404" i="18"/>
  <c r="V403" i="18"/>
  <c r="U403" i="18"/>
  <c r="T403" i="18"/>
  <c r="V401" i="18"/>
  <c r="U401" i="18"/>
  <c r="T401" i="18"/>
  <c r="V400" i="18"/>
  <c r="U400" i="18"/>
  <c r="T400" i="18"/>
  <c r="V399" i="18"/>
  <c r="U399" i="18"/>
  <c r="T399" i="18"/>
  <c r="V397" i="18"/>
  <c r="U397" i="18"/>
  <c r="T397" i="18"/>
  <c r="V396" i="18"/>
  <c r="U396" i="18"/>
  <c r="T396" i="18"/>
  <c r="V394" i="18"/>
  <c r="U394" i="18"/>
  <c r="T394" i="18"/>
  <c r="V393" i="18"/>
  <c r="U393" i="18"/>
  <c r="T393" i="18"/>
  <c r="V392" i="18"/>
  <c r="U392" i="18"/>
  <c r="T392" i="18"/>
  <c r="V390" i="18"/>
  <c r="U390" i="18"/>
  <c r="T390" i="18"/>
  <c r="V389" i="18"/>
  <c r="U389" i="18"/>
  <c r="T389" i="18"/>
  <c r="V388" i="18"/>
  <c r="U388" i="18"/>
  <c r="T388" i="18"/>
  <c r="V386" i="18"/>
  <c r="U386" i="18"/>
  <c r="T386" i="18"/>
  <c r="V385" i="18"/>
  <c r="U385" i="18"/>
  <c r="T385" i="18"/>
  <c r="V383" i="18"/>
  <c r="U383" i="18"/>
  <c r="T383" i="18"/>
  <c r="V381" i="18"/>
  <c r="U381" i="18"/>
  <c r="T381" i="18"/>
  <c r="V380" i="18"/>
  <c r="U380" i="18"/>
  <c r="T380" i="18"/>
  <c r="V377" i="18"/>
  <c r="U377" i="18"/>
  <c r="T377" i="18"/>
  <c r="V376" i="18"/>
  <c r="U376" i="18"/>
  <c r="T376" i="18"/>
  <c r="V374" i="18"/>
  <c r="U374" i="18"/>
  <c r="T374" i="18"/>
  <c r="V373" i="18"/>
  <c r="U373" i="18"/>
  <c r="T373" i="18"/>
  <c r="V372" i="18"/>
  <c r="U372" i="18"/>
  <c r="T372" i="18"/>
  <c r="V370" i="18"/>
  <c r="U370" i="18"/>
  <c r="T370" i="18"/>
  <c r="V369" i="18"/>
  <c r="U369" i="18"/>
  <c r="T369" i="18"/>
  <c r="V367" i="18"/>
  <c r="U367" i="18"/>
  <c r="T367" i="18"/>
  <c r="V366" i="18"/>
  <c r="U366" i="18"/>
  <c r="T366" i="18"/>
  <c r="V365" i="18"/>
  <c r="U365" i="18"/>
  <c r="T365" i="18"/>
  <c r="V363" i="18"/>
  <c r="U363" i="18"/>
  <c r="T363" i="18"/>
  <c r="V362" i="18"/>
  <c r="U362" i="18"/>
  <c r="T362" i="18"/>
  <c r="V360" i="18"/>
  <c r="U360" i="18"/>
  <c r="T360" i="18"/>
  <c r="V359" i="18"/>
  <c r="U359" i="18"/>
  <c r="T359" i="18"/>
  <c r="V358" i="18"/>
  <c r="U358" i="18"/>
  <c r="T358" i="18"/>
  <c r="V357" i="18"/>
  <c r="U357" i="18"/>
  <c r="T357" i="18"/>
  <c r="V355" i="18"/>
  <c r="U355" i="18"/>
  <c r="T355" i="18"/>
  <c r="V354" i="18"/>
  <c r="U354" i="18"/>
  <c r="T354" i="18"/>
  <c r="V352" i="18"/>
  <c r="U352" i="18"/>
  <c r="T352" i="18"/>
  <c r="V351" i="18"/>
  <c r="U351" i="18"/>
  <c r="T351" i="18"/>
  <c r="V350" i="18"/>
  <c r="U350" i="18"/>
  <c r="T350" i="18"/>
  <c r="V347" i="18"/>
  <c r="U347" i="18"/>
  <c r="T347" i="18"/>
  <c r="V346" i="18"/>
  <c r="U346" i="18"/>
  <c r="T346" i="18"/>
  <c r="V344" i="18"/>
  <c r="U344" i="18"/>
  <c r="T344" i="18"/>
  <c r="V343" i="18"/>
  <c r="U343" i="18"/>
  <c r="T343" i="18"/>
  <c r="V342" i="18"/>
  <c r="U342" i="18"/>
  <c r="T342" i="18"/>
  <c r="V341" i="18"/>
  <c r="U341" i="18"/>
  <c r="T341" i="18"/>
  <c r="V339" i="18"/>
  <c r="U339" i="18"/>
  <c r="T339" i="18"/>
  <c r="U338" i="18"/>
  <c r="V338" i="18"/>
  <c r="T338" i="18"/>
  <c r="I345" i="18"/>
  <c r="J345" i="18"/>
  <c r="H345" i="18"/>
  <c r="O432" i="18"/>
  <c r="K432" i="18"/>
  <c r="G432" i="18"/>
  <c r="C432" i="18"/>
  <c r="O426" i="18"/>
  <c r="K426" i="18"/>
  <c r="G426" i="18"/>
  <c r="C426" i="18"/>
  <c r="O418" i="18"/>
  <c r="K418" i="18"/>
  <c r="G418" i="18"/>
  <c r="C418" i="18"/>
  <c r="O412" i="18"/>
  <c r="K412" i="18"/>
  <c r="G412" i="18"/>
  <c r="C412" i="18"/>
  <c r="O404" i="18"/>
  <c r="K404" i="18"/>
  <c r="G404" i="18"/>
  <c r="C404" i="18"/>
  <c r="O397" i="18"/>
  <c r="K397" i="18"/>
  <c r="G397" i="18"/>
  <c r="C397" i="18"/>
  <c r="O386" i="18"/>
  <c r="K386" i="18"/>
  <c r="G386" i="18"/>
  <c r="C386" i="18"/>
  <c r="O377" i="18"/>
  <c r="K377" i="18"/>
  <c r="G377" i="18"/>
  <c r="C377" i="18"/>
  <c r="O370" i="18"/>
  <c r="K370" i="18"/>
  <c r="G370" i="18"/>
  <c r="C370" i="18"/>
  <c r="O363" i="18"/>
  <c r="K363" i="18"/>
  <c r="G363" i="18"/>
  <c r="C363" i="18"/>
  <c r="O355" i="18"/>
  <c r="K355" i="18"/>
  <c r="G355" i="18"/>
  <c r="C355" i="18"/>
  <c r="O347" i="18"/>
  <c r="K347" i="18"/>
  <c r="G347" i="18"/>
  <c r="C347" i="18"/>
  <c r="O339" i="18"/>
  <c r="K339" i="18"/>
  <c r="G339" i="18"/>
  <c r="C339" i="18"/>
  <c r="S421" i="18" l="1"/>
  <c r="S450" i="18"/>
  <c r="S448" i="18"/>
  <c r="S449" i="18"/>
  <c r="S376" i="18"/>
  <c r="S389" i="18"/>
  <c r="S394" i="18"/>
  <c r="S411" i="18"/>
  <c r="S432" i="18"/>
  <c r="S439" i="18"/>
  <c r="S444" i="18"/>
  <c r="S454" i="18"/>
  <c r="S390" i="18"/>
  <c r="S404" i="18"/>
  <c r="S412" i="18"/>
  <c r="S440" i="18"/>
  <c r="S445" i="18"/>
  <c r="S374" i="18"/>
  <c r="S401" i="18"/>
  <c r="S418" i="18"/>
  <c r="S459" i="18"/>
  <c r="S381" i="18"/>
  <c r="S388" i="18"/>
  <c r="S399" i="18"/>
  <c r="S438" i="18"/>
  <c r="S443" i="18"/>
  <c r="S458" i="18"/>
  <c r="S373" i="18"/>
  <c r="S380" i="18"/>
  <c r="S383" i="18"/>
  <c r="S392" i="18"/>
  <c r="S397" i="18"/>
  <c r="S414" i="18"/>
  <c r="S422" i="18"/>
  <c r="S429" i="18"/>
  <c r="S441" i="18"/>
  <c r="S457" i="18"/>
  <c r="S385" i="18"/>
  <c r="S428" i="18"/>
  <c r="S434" i="18"/>
  <c r="S460" i="18"/>
  <c r="S453" i="18"/>
  <c r="S415" i="18"/>
  <c r="S400" i="18"/>
  <c r="S372" i="18"/>
  <c r="S426" i="18"/>
  <c r="S423" i="18"/>
  <c r="S403" i="18"/>
  <c r="V368" i="18"/>
  <c r="S409" i="18"/>
  <c r="S408" i="18"/>
  <c r="S366" i="18"/>
  <c r="S386" i="18"/>
  <c r="S407" i="18"/>
  <c r="S367" i="18"/>
  <c r="S406" i="18"/>
  <c r="S393" i="18"/>
  <c r="S363" i="18"/>
  <c r="S339" i="18"/>
  <c r="S344" i="18"/>
  <c r="S357" i="18"/>
  <c r="U368" i="18"/>
  <c r="S341" i="18"/>
  <c r="S343" i="18"/>
  <c r="S365" i="18"/>
  <c r="S346" i="18"/>
  <c r="S352" i="18"/>
  <c r="S358" i="18"/>
  <c r="S360" i="18"/>
  <c r="S359" i="18"/>
  <c r="S369" i="18"/>
  <c r="S351" i="18"/>
  <c r="S342" i="18"/>
  <c r="S350" i="18"/>
  <c r="S347" i="18"/>
  <c r="S35" i="18"/>
  <c r="S427" i="18"/>
  <c r="S355" i="18"/>
  <c r="S431" i="18"/>
  <c r="S354" i="18"/>
  <c r="S377" i="18"/>
  <c r="S396" i="18"/>
  <c r="S425" i="18"/>
  <c r="S456" i="18"/>
  <c r="S362" i="18"/>
  <c r="S370" i="18"/>
  <c r="S417" i="18"/>
  <c r="S452" i="18"/>
  <c r="T368" i="18"/>
  <c r="D64" i="1"/>
  <c r="D65" i="1"/>
  <c r="D66" i="1"/>
  <c r="S368" i="18" l="1"/>
  <c r="T466" i="18"/>
  <c r="U466" i="18"/>
  <c r="V466" i="18"/>
  <c r="T467" i="18"/>
  <c r="U467" i="18"/>
  <c r="V467" i="18"/>
  <c r="T468" i="18"/>
  <c r="U468" i="18"/>
  <c r="V468" i="18"/>
  <c r="T469" i="18"/>
  <c r="U469" i="18"/>
  <c r="V469" i="18"/>
  <c r="T470" i="18"/>
  <c r="U470" i="18"/>
  <c r="V470" i="18"/>
  <c r="T471" i="18"/>
  <c r="U471" i="18"/>
  <c r="V471" i="18"/>
  <c r="T472" i="18"/>
  <c r="U472" i="18"/>
  <c r="V472" i="18"/>
  <c r="T473" i="18"/>
  <c r="U473" i="18"/>
  <c r="V473" i="18"/>
  <c r="T474" i="18"/>
  <c r="U474" i="18"/>
  <c r="V474" i="18"/>
  <c r="T475" i="18"/>
  <c r="U475" i="18"/>
  <c r="V475" i="18"/>
  <c r="T476" i="18"/>
  <c r="U476" i="18"/>
  <c r="V476" i="18"/>
  <c r="T478" i="18"/>
  <c r="U478" i="18"/>
  <c r="V478" i="18"/>
  <c r="T479" i="18"/>
  <c r="U479" i="18"/>
  <c r="V479" i="18"/>
  <c r="T480" i="18"/>
  <c r="U480" i="18"/>
  <c r="V480" i="18"/>
  <c r="T481" i="18"/>
  <c r="U481" i="18"/>
  <c r="V481" i="18"/>
  <c r="T482" i="18"/>
  <c r="U482" i="18"/>
  <c r="V482" i="18"/>
  <c r="T483" i="18"/>
  <c r="U483" i="18"/>
  <c r="V483" i="18"/>
  <c r="T484" i="18"/>
  <c r="U484" i="18"/>
  <c r="V484" i="18"/>
  <c r="T485" i="18"/>
  <c r="U485" i="18"/>
  <c r="V485" i="18"/>
  <c r="T486" i="18"/>
  <c r="U486" i="18"/>
  <c r="V486" i="18"/>
  <c r="T487" i="18"/>
  <c r="U487" i="18"/>
  <c r="V487" i="18"/>
  <c r="T488" i="18"/>
  <c r="U488" i="18"/>
  <c r="V488" i="18"/>
  <c r="T489" i="18"/>
  <c r="U489" i="18"/>
  <c r="V489" i="18"/>
  <c r="T490" i="18"/>
  <c r="U490" i="18"/>
  <c r="V490" i="18"/>
  <c r="T491" i="18"/>
  <c r="U491" i="18"/>
  <c r="V491" i="18"/>
  <c r="T492" i="18"/>
  <c r="U492" i="18"/>
  <c r="V492" i="18"/>
  <c r="T493" i="18"/>
  <c r="U493" i="18"/>
  <c r="V493" i="18"/>
  <c r="U465" i="18"/>
  <c r="V465" i="18"/>
  <c r="T465" i="18"/>
  <c r="V463" i="18"/>
  <c r="U463" i="18"/>
  <c r="T463" i="18"/>
  <c r="T261" i="18"/>
  <c r="U261" i="18"/>
  <c r="V261" i="18"/>
  <c r="T262" i="18"/>
  <c r="U262" i="18"/>
  <c r="V262" i="18"/>
  <c r="T263" i="18"/>
  <c r="U263" i="18"/>
  <c r="V263" i="18"/>
  <c r="U260" i="18"/>
  <c r="V260" i="18"/>
  <c r="T260" i="18"/>
  <c r="G261" i="18"/>
  <c r="C261" i="18"/>
  <c r="T170" i="18"/>
  <c r="U170" i="18"/>
  <c r="V170" i="18"/>
  <c r="T171" i="18"/>
  <c r="U171" i="18"/>
  <c r="V171" i="18"/>
  <c r="T172" i="18"/>
  <c r="U172" i="18"/>
  <c r="V172" i="18"/>
  <c r="T173" i="18"/>
  <c r="U173" i="18"/>
  <c r="V173" i="18"/>
  <c r="T174" i="18"/>
  <c r="U174" i="18"/>
  <c r="V174" i="18"/>
  <c r="U168" i="18"/>
  <c r="V168" i="18"/>
  <c r="T168" i="18"/>
  <c r="U176" i="18"/>
  <c r="U128" i="17" s="1"/>
  <c r="V176" i="18"/>
  <c r="V128" i="17" s="1"/>
  <c r="T176" i="18"/>
  <c r="T128" i="17" s="1"/>
  <c r="T179" i="18"/>
  <c r="U179" i="18"/>
  <c r="V179" i="18"/>
  <c r="U178" i="18"/>
  <c r="V178" i="18"/>
  <c r="T178" i="18"/>
  <c r="I177" i="18"/>
  <c r="J177" i="18"/>
  <c r="H177" i="18"/>
  <c r="O178" i="18"/>
  <c r="K178" i="18"/>
  <c r="G178" i="18"/>
  <c r="C178" i="18"/>
  <c r="T182" i="18"/>
  <c r="U182" i="18"/>
  <c r="V182" i="18"/>
  <c r="U181" i="18"/>
  <c r="V181" i="18"/>
  <c r="T181" i="18"/>
  <c r="I180" i="18"/>
  <c r="U180" i="18" s="1"/>
  <c r="J180" i="18"/>
  <c r="V180" i="18" s="1"/>
  <c r="H180" i="18"/>
  <c r="T180" i="18" s="1"/>
  <c r="O182" i="18"/>
  <c r="K182" i="18"/>
  <c r="G182" i="18"/>
  <c r="C182" i="18"/>
  <c r="O181" i="18"/>
  <c r="K181" i="18"/>
  <c r="G181" i="18"/>
  <c r="C181" i="18"/>
  <c r="V315" i="18"/>
  <c r="U315" i="18"/>
  <c r="T315" i="18"/>
  <c r="O315" i="18"/>
  <c r="K315" i="18"/>
  <c r="G315" i="18"/>
  <c r="C315" i="18"/>
  <c r="V316" i="18"/>
  <c r="U316" i="18"/>
  <c r="T316" i="18"/>
  <c r="O316" i="18"/>
  <c r="K316" i="18"/>
  <c r="G316" i="18"/>
  <c r="C316" i="18"/>
  <c r="V314" i="18"/>
  <c r="U314" i="18"/>
  <c r="T314" i="18"/>
  <c r="O314" i="18"/>
  <c r="K314" i="18"/>
  <c r="G314" i="18"/>
  <c r="C314" i="18"/>
  <c r="V333" i="18"/>
  <c r="U333" i="18"/>
  <c r="T333" i="18"/>
  <c r="O333" i="18"/>
  <c r="K333" i="18"/>
  <c r="G333" i="18"/>
  <c r="C333" i="18"/>
  <c r="V336" i="18"/>
  <c r="U336" i="18"/>
  <c r="T336" i="18"/>
  <c r="G336" i="18"/>
  <c r="C336" i="18"/>
  <c r="S128" i="17" l="1"/>
  <c r="S465" i="18"/>
  <c r="S493" i="18"/>
  <c r="S489" i="18"/>
  <c r="S487" i="18"/>
  <c r="S485" i="18"/>
  <c r="S479" i="18"/>
  <c r="S492" i="18"/>
  <c r="S488" i="18"/>
  <c r="S484" i="18"/>
  <c r="S482" i="18"/>
  <c r="S480" i="18"/>
  <c r="S478" i="18"/>
  <c r="S474" i="18"/>
  <c r="S472" i="18"/>
  <c r="S470" i="18"/>
  <c r="S468" i="18"/>
  <c r="S467" i="18"/>
  <c r="S473" i="18"/>
  <c r="S466" i="18"/>
  <c r="S181" i="18"/>
  <c r="S182" i="18"/>
  <c r="S481" i="18"/>
  <c r="S469" i="18"/>
  <c r="S490" i="18"/>
  <c r="S486" i="18"/>
  <c r="S491" i="18"/>
  <c r="S475" i="18"/>
  <c r="S471" i="18"/>
  <c r="S336" i="18"/>
  <c r="S333" i="18"/>
  <c r="S476" i="18"/>
  <c r="S261" i="18"/>
  <c r="S178" i="18"/>
  <c r="S314" i="18"/>
  <c r="S316" i="18"/>
  <c r="S315" i="18"/>
  <c r="G332" i="18"/>
  <c r="V332" i="18"/>
  <c r="S332" i="18" s="1"/>
  <c r="G321" i="18"/>
  <c r="G322" i="18"/>
  <c r="G324" i="18"/>
  <c r="G325" i="18"/>
  <c r="G326" i="18"/>
  <c r="G327" i="18"/>
  <c r="G328" i="18"/>
  <c r="G329" i="18"/>
  <c r="G330" i="18"/>
  <c r="G331" i="18"/>
  <c r="G334" i="18"/>
  <c r="G335" i="18"/>
  <c r="T321" i="18"/>
  <c r="U321" i="18"/>
  <c r="V321" i="18"/>
  <c r="T322" i="18"/>
  <c r="U322" i="18"/>
  <c r="V322" i="18"/>
  <c r="T324" i="18"/>
  <c r="U324" i="18"/>
  <c r="V324" i="18"/>
  <c r="T325" i="18"/>
  <c r="U325" i="18"/>
  <c r="V325" i="18"/>
  <c r="T326" i="18"/>
  <c r="U326" i="18"/>
  <c r="V326" i="18"/>
  <c r="T327" i="18"/>
  <c r="U327" i="18"/>
  <c r="V327" i="18"/>
  <c r="T328" i="18"/>
  <c r="U328" i="18"/>
  <c r="V328" i="18"/>
  <c r="T329" i="18"/>
  <c r="U329" i="18"/>
  <c r="V329" i="18"/>
  <c r="T330" i="18"/>
  <c r="U330" i="18"/>
  <c r="V330" i="18"/>
  <c r="T331" i="18"/>
  <c r="U331" i="18"/>
  <c r="V331" i="18"/>
  <c r="T334" i="18"/>
  <c r="U334" i="18"/>
  <c r="V334" i="18"/>
  <c r="T335" i="18"/>
  <c r="U335" i="18"/>
  <c r="V335" i="18"/>
  <c r="T312" i="18"/>
  <c r="U312" i="18"/>
  <c r="V312" i="18"/>
  <c r="T313" i="18"/>
  <c r="U313" i="18"/>
  <c r="V313" i="18"/>
  <c r="T317" i="18"/>
  <c r="U317" i="18"/>
  <c r="V317" i="18"/>
  <c r="U311" i="18"/>
  <c r="V311" i="18"/>
  <c r="T311" i="18"/>
  <c r="T309" i="18"/>
  <c r="U309" i="18"/>
  <c r="V309" i="18"/>
  <c r="T306" i="18"/>
  <c r="U306" i="18"/>
  <c r="V306" i="18"/>
  <c r="T307" i="18"/>
  <c r="U307" i="18"/>
  <c r="V307" i="18"/>
  <c r="T308" i="18"/>
  <c r="U308" i="18"/>
  <c r="V308" i="18"/>
  <c r="U301" i="18"/>
  <c r="V301" i="18"/>
  <c r="T301" i="18"/>
  <c r="O308" i="18"/>
  <c r="K308" i="18"/>
  <c r="G308" i="18"/>
  <c r="C308" i="18"/>
  <c r="O307" i="18"/>
  <c r="K307" i="18"/>
  <c r="G307" i="18"/>
  <c r="C307" i="18"/>
  <c r="O306" i="18"/>
  <c r="K306" i="18"/>
  <c r="G306" i="18"/>
  <c r="C306" i="18"/>
  <c r="T237" i="18"/>
  <c r="U237" i="18"/>
  <c r="V237" i="18"/>
  <c r="T238" i="18"/>
  <c r="U238" i="18"/>
  <c r="V238" i="18"/>
  <c r="T239" i="18"/>
  <c r="U239" i="18"/>
  <c r="V239" i="18"/>
  <c r="T240" i="18"/>
  <c r="U240" i="18"/>
  <c r="V240" i="18"/>
  <c r="T241" i="18"/>
  <c r="U241" i="18"/>
  <c r="V241" i="18"/>
  <c r="T242" i="18"/>
  <c r="U242" i="18"/>
  <c r="V242" i="18"/>
  <c r="T243" i="18"/>
  <c r="U243" i="18"/>
  <c r="V243" i="18"/>
  <c r="T244" i="18"/>
  <c r="U244" i="18"/>
  <c r="V244" i="18"/>
  <c r="T245" i="18"/>
  <c r="U245" i="18"/>
  <c r="V245" i="18"/>
  <c r="T246" i="18"/>
  <c r="U246" i="18"/>
  <c r="V246" i="18"/>
  <c r="T247" i="18"/>
  <c r="U247" i="18"/>
  <c r="V247" i="18"/>
  <c r="T248" i="18"/>
  <c r="U248" i="18"/>
  <c r="V248" i="18"/>
  <c r="T249" i="18"/>
  <c r="U249" i="18"/>
  <c r="V249" i="18"/>
  <c r="T250" i="18"/>
  <c r="U250" i="18"/>
  <c r="V250" i="18"/>
  <c r="C252" i="18"/>
  <c r="G252" i="18"/>
  <c r="T252" i="18"/>
  <c r="U252" i="18"/>
  <c r="V252" i="18"/>
  <c r="C253" i="18"/>
  <c r="G253" i="18"/>
  <c r="T253" i="18"/>
  <c r="U253" i="18"/>
  <c r="V253" i="18"/>
  <c r="C254" i="18"/>
  <c r="G254" i="18"/>
  <c r="T254" i="18"/>
  <c r="U254" i="18"/>
  <c r="V254" i="18"/>
  <c r="C255" i="18"/>
  <c r="G255" i="18"/>
  <c r="T255" i="18"/>
  <c r="U255" i="18"/>
  <c r="V255" i="18"/>
  <c r="C256" i="18"/>
  <c r="G256" i="18"/>
  <c r="T256" i="18"/>
  <c r="U256" i="18"/>
  <c r="V256" i="18"/>
  <c r="C257" i="18"/>
  <c r="G257" i="18"/>
  <c r="T257" i="18"/>
  <c r="U257" i="18"/>
  <c r="V257" i="18"/>
  <c r="C258" i="18"/>
  <c r="G258" i="18"/>
  <c r="T258" i="18"/>
  <c r="U258" i="18"/>
  <c r="V258" i="18"/>
  <c r="U251" i="18"/>
  <c r="V251" i="18"/>
  <c r="T251" i="18"/>
  <c r="G251" i="18"/>
  <c r="C251" i="18"/>
  <c r="T224" i="18"/>
  <c r="U224" i="18"/>
  <c r="V224" i="18"/>
  <c r="T225" i="18"/>
  <c r="U225" i="18"/>
  <c r="V225" i="18"/>
  <c r="T226" i="18"/>
  <c r="U226" i="18"/>
  <c r="V226" i="18"/>
  <c r="T227" i="18"/>
  <c r="U227" i="18"/>
  <c r="V227" i="18"/>
  <c r="T228" i="18"/>
  <c r="U228" i="18"/>
  <c r="V228" i="18"/>
  <c r="T229" i="18"/>
  <c r="U229" i="18"/>
  <c r="V229" i="18"/>
  <c r="T230" i="18"/>
  <c r="U230" i="18"/>
  <c r="V230" i="18"/>
  <c r="T231" i="18"/>
  <c r="U231" i="18"/>
  <c r="V231" i="18"/>
  <c r="T232" i="18"/>
  <c r="U232" i="18"/>
  <c r="V232" i="18"/>
  <c r="T233" i="18"/>
  <c r="U233" i="18"/>
  <c r="V233" i="18"/>
  <c r="U223" i="18"/>
  <c r="V223" i="18"/>
  <c r="T223" i="18"/>
  <c r="T216" i="18"/>
  <c r="U216" i="18"/>
  <c r="V216" i="18"/>
  <c r="V222" i="18"/>
  <c r="U222" i="18"/>
  <c r="T222" i="18"/>
  <c r="V221" i="18"/>
  <c r="U221" i="18"/>
  <c r="T221" i="18"/>
  <c r="V219" i="18"/>
  <c r="U219" i="18"/>
  <c r="T219" i="18"/>
  <c r="V218" i="18"/>
  <c r="U218" i="18"/>
  <c r="T218" i="18"/>
  <c r="V215" i="18"/>
  <c r="U215" i="18"/>
  <c r="T215" i="18"/>
  <c r="V214" i="18"/>
  <c r="U214" i="18"/>
  <c r="T214" i="18"/>
  <c r="V212" i="18"/>
  <c r="U212" i="18"/>
  <c r="T212" i="18"/>
  <c r="V211" i="18"/>
  <c r="U211" i="18"/>
  <c r="T211" i="18"/>
  <c r="V209" i="18"/>
  <c r="U209" i="18"/>
  <c r="T209" i="18"/>
  <c r="V208" i="18"/>
  <c r="U208" i="18"/>
  <c r="T208" i="18"/>
  <c r="V206" i="18"/>
  <c r="U206" i="18"/>
  <c r="T206" i="18"/>
  <c r="V205" i="18"/>
  <c r="U205" i="18"/>
  <c r="T205" i="18"/>
  <c r="V203" i="18"/>
  <c r="U203" i="18"/>
  <c r="T203" i="18"/>
  <c r="V202" i="18"/>
  <c r="U202" i="18"/>
  <c r="T202" i="18"/>
  <c r="V200" i="18"/>
  <c r="U200" i="18"/>
  <c r="T200" i="18"/>
  <c r="V199" i="18"/>
  <c r="U199" i="18"/>
  <c r="T199" i="18"/>
  <c r="T187" i="18"/>
  <c r="U187" i="18"/>
  <c r="V187" i="18"/>
  <c r="T189" i="18"/>
  <c r="U189" i="18"/>
  <c r="V189" i="18"/>
  <c r="T190" i="18"/>
  <c r="U190" i="18"/>
  <c r="V190" i="18"/>
  <c r="T191" i="18"/>
  <c r="U191" i="18"/>
  <c r="V191" i="18"/>
  <c r="T193" i="18"/>
  <c r="U193" i="18"/>
  <c r="V193" i="18"/>
  <c r="U186" i="18"/>
  <c r="V186" i="18"/>
  <c r="T186" i="18"/>
  <c r="T196" i="18"/>
  <c r="U196" i="18"/>
  <c r="V196" i="18"/>
  <c r="T197" i="18"/>
  <c r="U197" i="18"/>
  <c r="V197" i="18"/>
  <c r="U195" i="18"/>
  <c r="V195" i="18"/>
  <c r="T195" i="18"/>
  <c r="O187" i="18"/>
  <c r="K187" i="18"/>
  <c r="G187" i="18"/>
  <c r="C187" i="18"/>
  <c r="V50" i="18"/>
  <c r="U50" i="18"/>
  <c r="T50" i="18"/>
  <c r="O50" i="18"/>
  <c r="K50" i="18"/>
  <c r="G50" i="18"/>
  <c r="C50" i="18"/>
  <c r="V49" i="18"/>
  <c r="U49" i="18"/>
  <c r="T49" i="18"/>
  <c r="O49" i="18"/>
  <c r="K49" i="18"/>
  <c r="G49" i="18"/>
  <c r="C49" i="18"/>
  <c r="V48" i="18"/>
  <c r="U48" i="18"/>
  <c r="T48" i="18"/>
  <c r="O48" i="18"/>
  <c r="K48" i="18"/>
  <c r="G48" i="18"/>
  <c r="C48" i="18"/>
  <c r="V47" i="18"/>
  <c r="U47" i="18"/>
  <c r="T47" i="18"/>
  <c r="O47" i="18"/>
  <c r="K47" i="18"/>
  <c r="G47" i="18"/>
  <c r="C47" i="18"/>
  <c r="V81" i="18"/>
  <c r="U81" i="18"/>
  <c r="T81" i="18"/>
  <c r="O81" i="18"/>
  <c r="K81" i="18"/>
  <c r="G81" i="18"/>
  <c r="C81" i="18"/>
  <c r="V84" i="18"/>
  <c r="U84" i="18"/>
  <c r="T84" i="18"/>
  <c r="O84" i="18"/>
  <c r="K84" i="18"/>
  <c r="G84" i="18"/>
  <c r="C84" i="18"/>
  <c r="T39" i="18"/>
  <c r="U39" i="18"/>
  <c r="V39" i="18"/>
  <c r="T40" i="18"/>
  <c r="U40" i="18"/>
  <c r="V40" i="18"/>
  <c r="T41" i="18"/>
  <c r="U41" i="18"/>
  <c r="V41" i="18"/>
  <c r="T43" i="18"/>
  <c r="U43" i="18"/>
  <c r="V43" i="18"/>
  <c r="T44" i="18"/>
  <c r="U44" i="18"/>
  <c r="V44" i="18"/>
  <c r="T46" i="18"/>
  <c r="U46" i="18"/>
  <c r="V46" i="18"/>
  <c r="T52" i="18"/>
  <c r="U52" i="18"/>
  <c r="V52" i="18"/>
  <c r="T53" i="18"/>
  <c r="U53" i="18"/>
  <c r="V53" i="18"/>
  <c r="T54" i="18"/>
  <c r="U54" i="18"/>
  <c r="V54" i="18"/>
  <c r="T58" i="18"/>
  <c r="U58" i="18"/>
  <c r="V58" i="18"/>
  <c r="T59" i="18"/>
  <c r="U59" i="18"/>
  <c r="V59" i="18"/>
  <c r="T62" i="18"/>
  <c r="U62" i="18"/>
  <c r="V62" i="18"/>
  <c r="T63" i="18"/>
  <c r="U63" i="18"/>
  <c r="V63" i="18"/>
  <c r="T64" i="18"/>
  <c r="U64" i="18"/>
  <c r="V64" i="18"/>
  <c r="T66" i="18"/>
  <c r="U66" i="18"/>
  <c r="V66" i="18"/>
  <c r="T67" i="18"/>
  <c r="U67" i="18"/>
  <c r="V67" i="18"/>
  <c r="T68" i="18"/>
  <c r="U68" i="18"/>
  <c r="V68" i="18"/>
  <c r="T69" i="18"/>
  <c r="U69" i="18"/>
  <c r="V69" i="18"/>
  <c r="T70" i="18"/>
  <c r="U70" i="18"/>
  <c r="V70" i="18"/>
  <c r="T71" i="18"/>
  <c r="U71" i="18"/>
  <c r="V71" i="18"/>
  <c r="T72" i="18"/>
  <c r="U72" i="18"/>
  <c r="V72" i="18"/>
  <c r="T73" i="18"/>
  <c r="U73" i="18"/>
  <c r="V73" i="18"/>
  <c r="T74" i="18"/>
  <c r="U74" i="18"/>
  <c r="V74" i="18"/>
  <c r="T75" i="18"/>
  <c r="U75" i="18"/>
  <c r="V75" i="18"/>
  <c r="T76" i="18"/>
  <c r="U76" i="18"/>
  <c r="V76" i="18"/>
  <c r="T77" i="18"/>
  <c r="U77" i="18"/>
  <c r="V77" i="18"/>
  <c r="T78" i="18"/>
  <c r="U78" i="18"/>
  <c r="V78" i="18"/>
  <c r="T79" i="18"/>
  <c r="U79" i="18"/>
  <c r="V79" i="18"/>
  <c r="T80" i="18"/>
  <c r="U80" i="18"/>
  <c r="V80" i="18"/>
  <c r="T82" i="18"/>
  <c r="U82" i="18"/>
  <c r="V82" i="18"/>
  <c r="T83" i="18"/>
  <c r="U83" i="18"/>
  <c r="V83" i="18"/>
  <c r="V37" i="18"/>
  <c r="U37" i="18"/>
  <c r="T37" i="18"/>
  <c r="U34" i="18"/>
  <c r="V34" i="18"/>
  <c r="T34" i="18"/>
  <c r="T18" i="18"/>
  <c r="U18" i="18"/>
  <c r="V18" i="18"/>
  <c r="T19" i="18"/>
  <c r="U19" i="18"/>
  <c r="V19" i="18"/>
  <c r="T20" i="18"/>
  <c r="U20" i="18"/>
  <c r="V20" i="18"/>
  <c r="T21" i="18"/>
  <c r="U21" i="18"/>
  <c r="V21" i="18"/>
  <c r="T22" i="18"/>
  <c r="U22" i="18"/>
  <c r="V22" i="18"/>
  <c r="T23" i="18"/>
  <c r="U23" i="18"/>
  <c r="V23" i="18"/>
  <c r="T24" i="18"/>
  <c r="U24" i="18"/>
  <c r="V24" i="18"/>
  <c r="T25" i="18"/>
  <c r="U25" i="18"/>
  <c r="V25" i="18"/>
  <c r="T26" i="18"/>
  <c r="U26" i="18"/>
  <c r="V26" i="18"/>
  <c r="T27" i="18"/>
  <c r="U27" i="18"/>
  <c r="V27" i="18"/>
  <c r="T28" i="18"/>
  <c r="U28" i="18"/>
  <c r="V28" i="18"/>
  <c r="T29" i="18"/>
  <c r="U29" i="18"/>
  <c r="V29" i="18"/>
  <c r="T30" i="18"/>
  <c r="U30" i="18"/>
  <c r="V30" i="18"/>
  <c r="T31" i="18"/>
  <c r="U31" i="18"/>
  <c r="V31" i="18"/>
  <c r="U16" i="18"/>
  <c r="V16" i="18"/>
  <c r="T16" i="18"/>
  <c r="G74" i="18"/>
  <c r="G75" i="18"/>
  <c r="G73" i="18"/>
  <c r="C69" i="18"/>
  <c r="C70" i="18"/>
  <c r="C71" i="18"/>
  <c r="C72" i="18"/>
  <c r="C73" i="18"/>
  <c r="C74" i="18"/>
  <c r="C75" i="18"/>
  <c r="C76" i="18"/>
  <c r="O72" i="18"/>
  <c r="G72" i="18"/>
  <c r="G71" i="18"/>
  <c r="G76" i="18"/>
  <c r="G70" i="18"/>
  <c r="O70" i="18"/>
  <c r="O24" i="18"/>
  <c r="K24" i="18"/>
  <c r="G24" i="18"/>
  <c r="C24" i="18"/>
  <c r="S251" i="18" l="1"/>
  <c r="S312" i="18"/>
  <c r="S313" i="18"/>
  <c r="S327" i="18"/>
  <c r="S306" i="18"/>
  <c r="S322" i="18"/>
  <c r="S187" i="18"/>
  <c r="S334" i="18"/>
  <c r="S330" i="18"/>
  <c r="S328" i="18"/>
  <c r="S324" i="18"/>
  <c r="S250" i="18"/>
  <c r="S335" i="18"/>
  <c r="S329" i="18"/>
  <c r="S325" i="18"/>
  <c r="S326" i="18"/>
  <c r="S321" i="18"/>
  <c r="S331" i="18"/>
  <c r="S307" i="18"/>
  <c r="S308" i="18"/>
  <c r="S255" i="18"/>
  <c r="S256" i="18"/>
  <c r="S252" i="18"/>
  <c r="S249" i="18"/>
  <c r="S245" i="18"/>
  <c r="S241" i="18"/>
  <c r="S237" i="18"/>
  <c r="S246" i="18"/>
  <c r="S242" i="18"/>
  <c r="S238" i="18"/>
  <c r="S254" i="18"/>
  <c r="S247" i="18"/>
  <c r="S243" i="18"/>
  <c r="S239" i="18"/>
  <c r="S253" i="18"/>
  <c r="S248" i="18"/>
  <c r="S244" i="18"/>
  <c r="S240" i="18"/>
  <c r="S258" i="18"/>
  <c r="S257" i="18"/>
  <c r="S49" i="18"/>
  <c r="S84" i="18"/>
  <c r="S81" i="18"/>
  <c r="S50" i="18"/>
  <c r="S48" i="18"/>
  <c r="S47" i="18"/>
  <c r="S70" i="18"/>
  <c r="S71" i="18"/>
  <c r="S72" i="18"/>
  <c r="S75" i="18"/>
  <c r="S73" i="18"/>
  <c r="S69" i="18"/>
  <c r="S74" i="18"/>
  <c r="S24" i="18"/>
  <c r="C20" i="18"/>
  <c r="G20" i="18"/>
  <c r="K20" i="18"/>
  <c r="O20" i="18"/>
  <c r="C21" i="18"/>
  <c r="G21" i="18"/>
  <c r="K21" i="18"/>
  <c r="O21" i="18"/>
  <c r="C22" i="18"/>
  <c r="G22" i="18"/>
  <c r="K22" i="18"/>
  <c r="O22" i="18"/>
  <c r="C23" i="18"/>
  <c r="G23" i="18"/>
  <c r="K23" i="18"/>
  <c r="O23" i="18"/>
  <c r="C18" i="18"/>
  <c r="G18" i="18"/>
  <c r="K18" i="18"/>
  <c r="O18" i="18"/>
  <c r="S23" i="18" l="1"/>
  <c r="S22" i="18"/>
  <c r="S20" i="18"/>
  <c r="S21" i="18"/>
  <c r="S18" i="18"/>
  <c r="C80" i="18" l="1"/>
  <c r="C63" i="18"/>
  <c r="C40" i="18"/>
  <c r="K428" i="18"/>
  <c r="O408" i="18"/>
  <c r="Q177" i="18"/>
  <c r="U177" i="18" s="1"/>
  <c r="R177" i="18"/>
  <c r="V177" i="18" s="1"/>
  <c r="P177" i="18"/>
  <c r="T177" i="18" s="1"/>
  <c r="Q175" i="18"/>
  <c r="U175" i="18" s="1"/>
  <c r="R175" i="18"/>
  <c r="V175" i="18" s="1"/>
  <c r="P175" i="18"/>
  <c r="T175" i="18" s="1"/>
  <c r="O179" i="18"/>
  <c r="K179" i="18"/>
  <c r="G179" i="18"/>
  <c r="C179" i="18"/>
  <c r="O176" i="18"/>
  <c r="K176" i="18"/>
  <c r="G176" i="18"/>
  <c r="C176" i="18"/>
  <c r="O83" i="18"/>
  <c r="K83" i="18"/>
  <c r="G83" i="18"/>
  <c r="C83" i="18"/>
  <c r="O78" i="18"/>
  <c r="K78" i="18"/>
  <c r="G78" i="18"/>
  <c r="C78" i="18"/>
  <c r="O64" i="18"/>
  <c r="K64" i="18"/>
  <c r="G64" i="18"/>
  <c r="C64" i="18"/>
  <c r="O71" i="18"/>
  <c r="S46" i="18"/>
  <c r="O46" i="18"/>
  <c r="S30" i="18"/>
  <c r="O30" i="18"/>
  <c r="K30" i="18"/>
  <c r="G30" i="18"/>
  <c r="C30" i="18"/>
  <c r="S176" i="18" l="1"/>
  <c r="S78" i="18"/>
  <c r="S40" i="18"/>
  <c r="S63" i="18"/>
  <c r="S83" i="18"/>
  <c r="S179" i="18"/>
  <c r="S64" i="18"/>
  <c r="K266" i="18" l="1"/>
  <c r="G266" i="18"/>
  <c r="C266" i="18"/>
  <c r="S266" i="18" l="1"/>
  <c r="D79" i="1" l="1"/>
  <c r="D77" i="1"/>
  <c r="S108" i="18" l="1"/>
  <c r="S117" i="18"/>
  <c r="S143" i="18"/>
  <c r="S173" i="18"/>
  <c r="S148" i="18"/>
  <c r="S99" i="18"/>
  <c r="S134" i="18"/>
  <c r="S165" i="18"/>
  <c r="S91" i="18"/>
  <c r="S125" i="18"/>
  <c r="S157" i="18"/>
  <c r="D82" i="1"/>
  <c r="N220" i="18" l="1"/>
  <c r="M220" i="18"/>
  <c r="L220" i="18"/>
  <c r="J220" i="18"/>
  <c r="I220" i="18"/>
  <c r="H220" i="18"/>
  <c r="E220" i="18"/>
  <c r="F220" i="18"/>
  <c r="D220" i="18"/>
  <c r="N217" i="18"/>
  <c r="M217" i="18"/>
  <c r="L217" i="18"/>
  <c r="J217" i="18"/>
  <c r="I217" i="18"/>
  <c r="H217" i="18"/>
  <c r="E217" i="18"/>
  <c r="F217" i="18"/>
  <c r="D217" i="18"/>
  <c r="G222" i="18"/>
  <c r="C222" i="18"/>
  <c r="O221" i="18"/>
  <c r="K221" i="18"/>
  <c r="G221" i="18"/>
  <c r="C221" i="18"/>
  <c r="G219" i="18"/>
  <c r="C219" i="18"/>
  <c r="O218" i="18"/>
  <c r="K218" i="18"/>
  <c r="G218" i="18"/>
  <c r="C218" i="18"/>
  <c r="N207" i="18"/>
  <c r="M207" i="18"/>
  <c r="L207" i="18"/>
  <c r="J207" i="18"/>
  <c r="I207" i="18"/>
  <c r="H207" i="18"/>
  <c r="E207" i="18"/>
  <c r="F207" i="18"/>
  <c r="D207" i="18"/>
  <c r="G209" i="18"/>
  <c r="C209" i="18"/>
  <c r="O208" i="18"/>
  <c r="K208" i="18"/>
  <c r="G208" i="18"/>
  <c r="C208" i="18"/>
  <c r="N201" i="18"/>
  <c r="M201" i="18"/>
  <c r="L201" i="18"/>
  <c r="J201" i="18"/>
  <c r="I201" i="18"/>
  <c r="H201" i="18"/>
  <c r="E201" i="18"/>
  <c r="F201" i="18"/>
  <c r="D201" i="18"/>
  <c r="G203" i="18"/>
  <c r="C203" i="18"/>
  <c r="O202" i="18"/>
  <c r="K202" i="18"/>
  <c r="G202" i="18"/>
  <c r="C202" i="18"/>
  <c r="N210" i="18"/>
  <c r="M210" i="18"/>
  <c r="L210" i="18"/>
  <c r="J210" i="18"/>
  <c r="I210" i="18"/>
  <c r="H210" i="18"/>
  <c r="E210" i="18"/>
  <c r="F210" i="18"/>
  <c r="D210" i="18"/>
  <c r="G212" i="18"/>
  <c r="C212" i="18"/>
  <c r="O211" i="18"/>
  <c r="K211" i="18"/>
  <c r="G211" i="18"/>
  <c r="C211" i="18"/>
  <c r="N198" i="18"/>
  <c r="M198" i="18"/>
  <c r="L198" i="18"/>
  <c r="J198" i="18"/>
  <c r="I198" i="18"/>
  <c r="H198" i="18"/>
  <c r="E198" i="18"/>
  <c r="F198" i="18"/>
  <c r="D198" i="18"/>
  <c r="G200" i="18"/>
  <c r="C200" i="18"/>
  <c r="O199" i="18"/>
  <c r="K199" i="18"/>
  <c r="G199" i="18"/>
  <c r="C199" i="18"/>
  <c r="N204" i="18"/>
  <c r="M204" i="18"/>
  <c r="L204" i="18"/>
  <c r="J204" i="18"/>
  <c r="I204" i="18"/>
  <c r="H204" i="18"/>
  <c r="E204" i="18"/>
  <c r="F204" i="18"/>
  <c r="D204" i="18"/>
  <c r="G206" i="18"/>
  <c r="C206" i="18"/>
  <c r="O205" i="18"/>
  <c r="K205" i="18"/>
  <c r="G205" i="18"/>
  <c r="C205" i="18"/>
  <c r="S216" i="18"/>
  <c r="U201" i="18" l="1"/>
  <c r="V210" i="18"/>
  <c r="U220" i="18"/>
  <c r="T198" i="18"/>
  <c r="V201" i="18"/>
  <c r="U217" i="18"/>
  <c r="V217" i="18"/>
  <c r="U210" i="18"/>
  <c r="V220" i="18"/>
  <c r="T204" i="18"/>
  <c r="V198" i="18"/>
  <c r="T207" i="18"/>
  <c r="V204" i="18"/>
  <c r="U198" i="18"/>
  <c r="T201" i="18"/>
  <c r="V207" i="18"/>
  <c r="T217" i="18"/>
  <c r="U204" i="18"/>
  <c r="T210" i="18"/>
  <c r="U207" i="18"/>
  <c r="T220" i="18"/>
  <c r="S218" i="18"/>
  <c r="S196" i="18"/>
  <c r="S197" i="18"/>
  <c r="S219" i="18"/>
  <c r="S221" i="18"/>
  <c r="S222" i="18"/>
  <c r="S206" i="18"/>
  <c r="S212" i="18"/>
  <c r="S215" i="18"/>
  <c r="S203" i="18"/>
  <c r="S211" i="18"/>
  <c r="S208" i="18"/>
  <c r="S209" i="18"/>
  <c r="S199" i="18"/>
  <c r="S202" i="18"/>
  <c r="S200" i="18"/>
  <c r="S205" i="18"/>
  <c r="S214" i="18"/>
  <c r="Q213" i="18"/>
  <c r="P213" i="18"/>
  <c r="M213" i="18"/>
  <c r="L213" i="18"/>
  <c r="I213" i="18"/>
  <c r="H213" i="18"/>
  <c r="E213" i="18"/>
  <c r="F213" i="18"/>
  <c r="V213" i="18" s="1"/>
  <c r="D213" i="18"/>
  <c r="C214" i="18"/>
  <c r="C215" i="18"/>
  <c r="C216" i="18"/>
  <c r="G216" i="18"/>
  <c r="K216" i="18"/>
  <c r="G215" i="18"/>
  <c r="O214" i="18"/>
  <c r="K214" i="18"/>
  <c r="G214" i="18"/>
  <c r="G196" i="18"/>
  <c r="G312" i="18"/>
  <c r="G489" i="18"/>
  <c r="G488" i="18"/>
  <c r="G484" i="18"/>
  <c r="G468" i="18"/>
  <c r="G469" i="18"/>
  <c r="G470" i="18"/>
  <c r="G471" i="18"/>
  <c r="G472" i="18"/>
  <c r="G473" i="18"/>
  <c r="G474" i="18"/>
  <c r="G475" i="18"/>
  <c r="K459" i="18"/>
  <c r="K445" i="18"/>
  <c r="K440" i="18"/>
  <c r="K435" i="18"/>
  <c r="K422" i="18"/>
  <c r="K382" i="18"/>
  <c r="K359" i="18"/>
  <c r="K343" i="18"/>
  <c r="U213" i="18" l="1"/>
  <c r="T213" i="18"/>
  <c r="K213" i="18"/>
  <c r="G213" i="18"/>
  <c r="K313" i="18"/>
  <c r="K274" i="18"/>
  <c r="K197" i="18"/>
  <c r="O460" i="18"/>
  <c r="K460" i="18"/>
  <c r="G460" i="18"/>
  <c r="C460" i="18"/>
  <c r="O446" i="18"/>
  <c r="K446" i="18"/>
  <c r="G446" i="18"/>
  <c r="C446" i="18"/>
  <c r="O441" i="18"/>
  <c r="K441" i="18"/>
  <c r="G441" i="18"/>
  <c r="C441" i="18"/>
  <c r="O436" i="18"/>
  <c r="K436" i="18"/>
  <c r="G436" i="18"/>
  <c r="C436" i="18"/>
  <c r="O429" i="18"/>
  <c r="K429" i="18"/>
  <c r="G429" i="18"/>
  <c r="C429" i="18"/>
  <c r="O423" i="18"/>
  <c r="K423" i="18"/>
  <c r="G423" i="18"/>
  <c r="C423" i="18"/>
  <c r="O383" i="18"/>
  <c r="K383" i="18"/>
  <c r="G383" i="18"/>
  <c r="C383" i="18"/>
  <c r="O360" i="18"/>
  <c r="K360" i="18"/>
  <c r="G360" i="18"/>
  <c r="C360" i="18"/>
  <c r="K173" i="18"/>
  <c r="K165" i="18"/>
  <c r="K157" i="18"/>
  <c r="K148" i="18"/>
  <c r="K143" i="18"/>
  <c r="K134" i="18"/>
  <c r="K125" i="18"/>
  <c r="K117" i="18"/>
  <c r="K108" i="18"/>
  <c r="K99" i="18"/>
  <c r="K91" i="18"/>
  <c r="R236" i="18" l="1"/>
  <c r="R19" i="17" s="1"/>
  <c r="Q236" i="18"/>
  <c r="Q19" i="17" s="1"/>
  <c r="P236" i="18"/>
  <c r="P19" i="17" s="1"/>
  <c r="N236" i="18"/>
  <c r="N19" i="17" s="1"/>
  <c r="M236" i="18"/>
  <c r="M19" i="17" s="1"/>
  <c r="L236" i="18"/>
  <c r="L19" i="17" s="1"/>
  <c r="J236" i="18"/>
  <c r="J19" i="17" s="1"/>
  <c r="I236" i="18"/>
  <c r="I19" i="17" s="1"/>
  <c r="H236" i="18"/>
  <c r="H19" i="17" s="1"/>
  <c r="E236" i="18"/>
  <c r="E19" i="17" s="1"/>
  <c r="F236" i="18"/>
  <c r="F19" i="17" s="1"/>
  <c r="R36" i="18"/>
  <c r="R17" i="17" s="1"/>
  <c r="Q36" i="18"/>
  <c r="Q17" i="17" s="1"/>
  <c r="P36" i="18"/>
  <c r="P17" i="17" s="1"/>
  <c r="N36" i="18"/>
  <c r="N17" i="17" s="1"/>
  <c r="M36" i="18"/>
  <c r="M17" i="17" s="1"/>
  <c r="L36" i="18"/>
  <c r="L17" i="17" s="1"/>
  <c r="J36" i="18"/>
  <c r="J17" i="17" s="1"/>
  <c r="E36" i="18"/>
  <c r="E17" i="17" s="1"/>
  <c r="V19" i="17" l="1"/>
  <c r="U19" i="17"/>
  <c r="D36" i="18"/>
  <c r="D17" i="17" s="1"/>
  <c r="F36" i="18"/>
  <c r="F17" i="17" s="1"/>
  <c r="V17" i="17" s="1"/>
  <c r="R288" i="18" l="1"/>
  <c r="Q288" i="18"/>
  <c r="P288" i="18"/>
  <c r="N288" i="18"/>
  <c r="M288" i="18"/>
  <c r="L288" i="18"/>
  <c r="J288" i="18"/>
  <c r="I288" i="18"/>
  <c r="H288" i="18"/>
  <c r="E288" i="18"/>
  <c r="F288" i="18"/>
  <c r="D288" i="18"/>
  <c r="O290" i="18"/>
  <c r="K290" i="18"/>
  <c r="G290" i="18"/>
  <c r="C290" i="18"/>
  <c r="O289" i="18"/>
  <c r="K289" i="18"/>
  <c r="G289" i="18"/>
  <c r="C289" i="18"/>
  <c r="T288" i="18" l="1"/>
  <c r="V288" i="18"/>
  <c r="U288" i="18"/>
  <c r="S289" i="18"/>
  <c r="S290" i="18"/>
  <c r="C175" i="18"/>
  <c r="C180" i="18"/>
  <c r="C177" i="18"/>
  <c r="O163" i="18" l="1"/>
  <c r="K163" i="18"/>
  <c r="G163" i="18"/>
  <c r="C163" i="18"/>
  <c r="O161" i="18"/>
  <c r="K161" i="18"/>
  <c r="G161" i="18"/>
  <c r="C161" i="18"/>
  <c r="O146" i="18"/>
  <c r="K146" i="18"/>
  <c r="G146" i="18"/>
  <c r="C146" i="18"/>
  <c r="O149" i="18"/>
  <c r="G149" i="18"/>
  <c r="C149" i="18"/>
  <c r="K95" i="18"/>
  <c r="G95" i="18"/>
  <c r="C95" i="18"/>
  <c r="S161" i="18" l="1"/>
  <c r="S163" i="18"/>
  <c r="S149" i="18"/>
  <c r="S95" i="18"/>
  <c r="S146" i="18"/>
  <c r="R151" i="17" l="1"/>
  <c r="Q151" i="17"/>
  <c r="P151" i="17"/>
  <c r="N151" i="17"/>
  <c r="M151" i="17"/>
  <c r="L151" i="17"/>
  <c r="J151" i="17"/>
  <c r="I151" i="17"/>
  <c r="H151" i="17"/>
  <c r="E151" i="17"/>
  <c r="F151" i="17"/>
  <c r="D151" i="17"/>
  <c r="O34" i="18"/>
  <c r="K34" i="18"/>
  <c r="G34" i="18"/>
  <c r="C34" i="18"/>
  <c r="V151" i="17" l="1"/>
  <c r="U151" i="17"/>
  <c r="T151" i="17"/>
  <c r="O151" i="17"/>
  <c r="C151" i="17"/>
  <c r="K151" i="17"/>
  <c r="G151" i="17"/>
  <c r="S34" i="18"/>
  <c r="E264" i="18"/>
  <c r="U264" i="18" s="1"/>
  <c r="K267" i="18"/>
  <c r="P264" i="18"/>
  <c r="L264" i="18"/>
  <c r="F264" i="18"/>
  <c r="V264" i="18" s="1"/>
  <c r="G267" i="18"/>
  <c r="K265" i="18"/>
  <c r="G265" i="18"/>
  <c r="C265" i="18"/>
  <c r="G177" i="18"/>
  <c r="I36" i="18"/>
  <c r="I17" i="17" s="1"/>
  <c r="U17" i="17" s="1"/>
  <c r="H36" i="18"/>
  <c r="H17" i="17" s="1"/>
  <c r="T17" i="17" s="1"/>
  <c r="S151" i="17" l="1"/>
  <c r="D264" i="18"/>
  <c r="T264" i="18" s="1"/>
  <c r="C267" i="18"/>
  <c r="S265" i="18"/>
  <c r="S267" i="18"/>
  <c r="R92" i="17" l="1"/>
  <c r="Q92" i="17"/>
  <c r="P92" i="17"/>
  <c r="N92" i="17"/>
  <c r="M92" i="17"/>
  <c r="L92" i="17"/>
  <c r="J92" i="17"/>
  <c r="I92" i="17"/>
  <c r="H92" i="17"/>
  <c r="E92" i="17"/>
  <c r="F92" i="17"/>
  <c r="D92" i="17"/>
  <c r="O177" i="18"/>
  <c r="T92" i="17" l="1"/>
  <c r="V92" i="17"/>
  <c r="U92" i="17"/>
  <c r="K92" i="17"/>
  <c r="O92" i="17"/>
  <c r="G92" i="17"/>
  <c r="C92" i="17"/>
  <c r="S177" i="18"/>
  <c r="S92" i="17" l="1"/>
  <c r="O100" i="18" l="1"/>
  <c r="K100" i="18"/>
  <c r="G100" i="18"/>
  <c r="C100" i="18"/>
  <c r="S100" i="18" l="1"/>
  <c r="D67" i="1"/>
  <c r="E53" i="2" l="1"/>
  <c r="F53" i="2"/>
  <c r="D45" i="1" l="1"/>
  <c r="D21" i="1"/>
  <c r="D20" i="1" l="1"/>
  <c r="O80" i="18" l="1"/>
  <c r="Q158" i="17" l="1"/>
  <c r="P158" i="17"/>
  <c r="N158" i="17"/>
  <c r="M158" i="17"/>
  <c r="L158" i="17"/>
  <c r="J158" i="17"/>
  <c r="I158" i="17"/>
  <c r="H158" i="17"/>
  <c r="E158" i="17"/>
  <c r="D158" i="17"/>
  <c r="R156" i="17"/>
  <c r="Q156" i="17"/>
  <c r="P156" i="17"/>
  <c r="N156" i="17"/>
  <c r="M156" i="17"/>
  <c r="L156" i="17"/>
  <c r="J156" i="17"/>
  <c r="I156" i="17"/>
  <c r="H156" i="17"/>
  <c r="E156" i="17"/>
  <c r="F156" i="17"/>
  <c r="D156" i="17"/>
  <c r="R154" i="17"/>
  <c r="Q154" i="17"/>
  <c r="P154" i="17"/>
  <c r="N154" i="17"/>
  <c r="M154" i="17"/>
  <c r="L154" i="17"/>
  <c r="J154" i="17"/>
  <c r="I154" i="17"/>
  <c r="H154" i="17"/>
  <c r="E154" i="17"/>
  <c r="F154" i="17"/>
  <c r="D154" i="17"/>
  <c r="R149" i="17"/>
  <c r="Q149" i="17"/>
  <c r="P149" i="17"/>
  <c r="R147" i="17"/>
  <c r="Q147" i="17"/>
  <c r="P147" i="17"/>
  <c r="N147" i="17"/>
  <c r="M147" i="17"/>
  <c r="L147" i="17"/>
  <c r="J147" i="17"/>
  <c r="I147" i="17"/>
  <c r="H147" i="17"/>
  <c r="E147" i="17"/>
  <c r="U147" i="17" s="1"/>
  <c r="F147" i="17"/>
  <c r="D147" i="17"/>
  <c r="R143" i="17"/>
  <c r="Q143" i="17"/>
  <c r="P143" i="17"/>
  <c r="N143" i="17"/>
  <c r="M143" i="17"/>
  <c r="L143" i="17"/>
  <c r="J143" i="17"/>
  <c r="I143" i="17"/>
  <c r="H143" i="17"/>
  <c r="E143" i="17"/>
  <c r="U143" i="17" s="1"/>
  <c r="F143" i="17"/>
  <c r="D143" i="17"/>
  <c r="R141" i="17"/>
  <c r="Q141" i="17"/>
  <c r="P141" i="17"/>
  <c r="N141" i="17"/>
  <c r="M141" i="17"/>
  <c r="L141" i="17"/>
  <c r="J141" i="17"/>
  <c r="I141" i="17"/>
  <c r="H141" i="17"/>
  <c r="E141" i="17"/>
  <c r="U141" i="17" s="1"/>
  <c r="F141" i="17"/>
  <c r="D141" i="17"/>
  <c r="R139" i="17"/>
  <c r="Q139" i="17"/>
  <c r="P139" i="17"/>
  <c r="N139" i="17"/>
  <c r="M139" i="17"/>
  <c r="L139" i="17"/>
  <c r="J139" i="17"/>
  <c r="I139" i="17"/>
  <c r="H139" i="17"/>
  <c r="E139" i="17"/>
  <c r="U139" i="17" s="1"/>
  <c r="F139" i="17"/>
  <c r="D139" i="17"/>
  <c r="R137" i="17"/>
  <c r="Q137" i="17"/>
  <c r="P137" i="17"/>
  <c r="N137" i="17"/>
  <c r="M137" i="17"/>
  <c r="L137" i="17"/>
  <c r="J137" i="17"/>
  <c r="I137" i="17"/>
  <c r="H137" i="17"/>
  <c r="E137" i="17"/>
  <c r="U137" i="17" s="1"/>
  <c r="F137" i="17"/>
  <c r="D137" i="17"/>
  <c r="R135" i="17"/>
  <c r="Q135" i="17"/>
  <c r="P135" i="17"/>
  <c r="N135" i="17"/>
  <c r="M135" i="17"/>
  <c r="L135" i="17"/>
  <c r="J135" i="17"/>
  <c r="I135" i="17"/>
  <c r="H135" i="17"/>
  <c r="E135" i="17"/>
  <c r="U135" i="17" s="1"/>
  <c r="F135" i="17"/>
  <c r="D135" i="17"/>
  <c r="R133" i="17"/>
  <c r="Q133" i="17"/>
  <c r="P133" i="17"/>
  <c r="N133" i="17"/>
  <c r="M133" i="17"/>
  <c r="L133" i="17"/>
  <c r="J133" i="17"/>
  <c r="I133" i="17"/>
  <c r="H133" i="17"/>
  <c r="E133" i="17"/>
  <c r="F133" i="17"/>
  <c r="D133" i="17"/>
  <c r="R131" i="17"/>
  <c r="Q131" i="17"/>
  <c r="P131" i="17"/>
  <c r="N131" i="17"/>
  <c r="M131" i="17"/>
  <c r="L131" i="17"/>
  <c r="J131" i="17"/>
  <c r="I131" i="17"/>
  <c r="H131" i="17"/>
  <c r="E131" i="17"/>
  <c r="U131" i="17" s="1"/>
  <c r="F131" i="17"/>
  <c r="D131" i="17"/>
  <c r="R129" i="17"/>
  <c r="Q129" i="17"/>
  <c r="P129" i="17"/>
  <c r="N129" i="17"/>
  <c r="M129" i="17"/>
  <c r="L129" i="17"/>
  <c r="J129" i="17"/>
  <c r="I129" i="17"/>
  <c r="H129" i="17"/>
  <c r="E129" i="17"/>
  <c r="U129" i="17" s="1"/>
  <c r="F129" i="17"/>
  <c r="D129" i="17"/>
  <c r="R125" i="17"/>
  <c r="Q125" i="17"/>
  <c r="P125" i="17"/>
  <c r="N125" i="17"/>
  <c r="M125" i="17"/>
  <c r="L125" i="17"/>
  <c r="J125" i="17"/>
  <c r="I125" i="17"/>
  <c r="H125" i="17"/>
  <c r="R72" i="17"/>
  <c r="Q72" i="17"/>
  <c r="P72" i="17"/>
  <c r="R71" i="17"/>
  <c r="N72" i="17"/>
  <c r="M72" i="17"/>
  <c r="L72" i="17"/>
  <c r="N71" i="17"/>
  <c r="M71" i="17"/>
  <c r="L71" i="17"/>
  <c r="J72" i="17"/>
  <c r="I72" i="17"/>
  <c r="H72" i="17"/>
  <c r="J71" i="17"/>
  <c r="I71" i="17"/>
  <c r="H71" i="17"/>
  <c r="E71" i="17"/>
  <c r="F71" i="17"/>
  <c r="V71" i="17" s="1"/>
  <c r="D71" i="17"/>
  <c r="E125" i="17"/>
  <c r="F125" i="17"/>
  <c r="D125" i="17"/>
  <c r="T125" i="17" s="1"/>
  <c r="R120" i="17"/>
  <c r="Q120" i="17"/>
  <c r="P120" i="17"/>
  <c r="N120" i="17"/>
  <c r="M120" i="17"/>
  <c r="L120" i="17"/>
  <c r="J120" i="17"/>
  <c r="I120" i="17"/>
  <c r="H120" i="17"/>
  <c r="R117" i="17"/>
  <c r="Q117" i="17"/>
  <c r="P117" i="17"/>
  <c r="N117" i="17"/>
  <c r="M117" i="17"/>
  <c r="L117" i="17"/>
  <c r="J117" i="17"/>
  <c r="I117" i="17"/>
  <c r="H117" i="17"/>
  <c r="R111" i="17"/>
  <c r="Q111" i="17"/>
  <c r="P111" i="17"/>
  <c r="N111" i="17"/>
  <c r="M111" i="17"/>
  <c r="L111" i="17"/>
  <c r="J111" i="17"/>
  <c r="I111" i="17"/>
  <c r="H111" i="17"/>
  <c r="R108" i="17"/>
  <c r="Q108" i="17"/>
  <c r="P108" i="17"/>
  <c r="N108" i="17"/>
  <c r="M108" i="17"/>
  <c r="L108" i="17"/>
  <c r="J108" i="17"/>
  <c r="I108" i="17"/>
  <c r="H108" i="17"/>
  <c r="R105" i="17"/>
  <c r="Q105" i="17"/>
  <c r="P105" i="17"/>
  <c r="N105" i="17"/>
  <c r="M105" i="17"/>
  <c r="L105" i="17"/>
  <c r="J105" i="17"/>
  <c r="I105" i="17"/>
  <c r="H105" i="17"/>
  <c r="R102" i="17"/>
  <c r="Q102" i="17"/>
  <c r="P102" i="17"/>
  <c r="N102" i="17"/>
  <c r="M102" i="17"/>
  <c r="L102" i="17"/>
  <c r="J102" i="17"/>
  <c r="I102" i="17"/>
  <c r="H102" i="17"/>
  <c r="R99" i="17"/>
  <c r="Q99" i="17"/>
  <c r="P99" i="17"/>
  <c r="N99" i="17"/>
  <c r="M99" i="17"/>
  <c r="L99" i="17"/>
  <c r="J99" i="17"/>
  <c r="I99" i="17"/>
  <c r="H99" i="17"/>
  <c r="R96" i="17"/>
  <c r="Q96" i="17"/>
  <c r="P96" i="17"/>
  <c r="N96" i="17"/>
  <c r="M96" i="17"/>
  <c r="L96" i="17"/>
  <c r="J96" i="17"/>
  <c r="I96" i="17"/>
  <c r="H96" i="17"/>
  <c r="R93" i="17"/>
  <c r="Q93" i="17"/>
  <c r="P93" i="17"/>
  <c r="N93" i="17"/>
  <c r="M93" i="17"/>
  <c r="L93" i="17"/>
  <c r="J93" i="17"/>
  <c r="I93" i="17"/>
  <c r="H93" i="17"/>
  <c r="R87" i="17"/>
  <c r="Q87" i="17"/>
  <c r="P87" i="17"/>
  <c r="N87" i="17"/>
  <c r="M87" i="17"/>
  <c r="L87" i="17"/>
  <c r="J87" i="17"/>
  <c r="I87" i="17"/>
  <c r="H87" i="17"/>
  <c r="R84" i="17"/>
  <c r="Q84" i="17"/>
  <c r="P84" i="17"/>
  <c r="N84" i="17"/>
  <c r="M84" i="17"/>
  <c r="L84" i="17"/>
  <c r="J84" i="17"/>
  <c r="I84" i="17"/>
  <c r="H84" i="17"/>
  <c r="R81" i="17"/>
  <c r="Q81" i="17"/>
  <c r="P81" i="17"/>
  <c r="N81" i="17"/>
  <c r="M81" i="17"/>
  <c r="L81" i="17"/>
  <c r="J81" i="17"/>
  <c r="I81" i="17"/>
  <c r="H81" i="17"/>
  <c r="R78" i="17"/>
  <c r="Q78" i="17"/>
  <c r="P78" i="17"/>
  <c r="N78" i="17"/>
  <c r="M78" i="17"/>
  <c r="L78" i="17"/>
  <c r="J78" i="17"/>
  <c r="I78" i="17"/>
  <c r="H78" i="17"/>
  <c r="R75" i="17"/>
  <c r="Q75" i="17"/>
  <c r="P75" i="17"/>
  <c r="N75" i="17"/>
  <c r="M75" i="17"/>
  <c r="L75" i="17"/>
  <c r="J75" i="17"/>
  <c r="I75" i="17"/>
  <c r="H75" i="17"/>
  <c r="R68" i="17"/>
  <c r="Q68" i="17"/>
  <c r="P68" i="17"/>
  <c r="N68" i="17"/>
  <c r="M68" i="17"/>
  <c r="L68" i="17"/>
  <c r="J68" i="17"/>
  <c r="I68" i="17"/>
  <c r="H68" i="17"/>
  <c r="E120" i="17"/>
  <c r="F120" i="17"/>
  <c r="D120" i="17"/>
  <c r="E117" i="17"/>
  <c r="F117" i="17"/>
  <c r="D117" i="17"/>
  <c r="E111" i="17"/>
  <c r="F111" i="17"/>
  <c r="D111" i="17"/>
  <c r="E108" i="17"/>
  <c r="F108" i="17"/>
  <c r="D108" i="17"/>
  <c r="E105" i="17"/>
  <c r="F105" i="17"/>
  <c r="D105" i="17"/>
  <c r="E102" i="17"/>
  <c r="F102" i="17"/>
  <c r="D102" i="17"/>
  <c r="E99" i="17"/>
  <c r="F99" i="17"/>
  <c r="D99" i="17"/>
  <c r="E96" i="17"/>
  <c r="F96" i="17"/>
  <c r="D96" i="17"/>
  <c r="E93" i="17"/>
  <c r="F93" i="17"/>
  <c r="D93" i="17"/>
  <c r="E87" i="17"/>
  <c r="F87" i="17"/>
  <c r="D87" i="17"/>
  <c r="E84" i="17"/>
  <c r="F84" i="17"/>
  <c r="D84" i="17"/>
  <c r="E81" i="17"/>
  <c r="F81" i="17"/>
  <c r="D81" i="17"/>
  <c r="E78" i="17"/>
  <c r="F78" i="17"/>
  <c r="D78" i="17"/>
  <c r="E75" i="17"/>
  <c r="F75" i="17"/>
  <c r="D75" i="17"/>
  <c r="E72" i="17"/>
  <c r="F72" i="17"/>
  <c r="D72" i="17"/>
  <c r="E68" i="17"/>
  <c r="F68" i="17"/>
  <c r="D68" i="17"/>
  <c r="R65" i="17"/>
  <c r="Q65" i="17"/>
  <c r="P65" i="17"/>
  <c r="N65" i="17"/>
  <c r="M65" i="17"/>
  <c r="L65" i="17"/>
  <c r="J65" i="17"/>
  <c r="I65" i="17"/>
  <c r="H65" i="17"/>
  <c r="R61" i="17"/>
  <c r="Q61" i="17"/>
  <c r="P61" i="17"/>
  <c r="N61" i="17"/>
  <c r="M61" i="17"/>
  <c r="L61" i="17"/>
  <c r="J61" i="17"/>
  <c r="I61" i="17"/>
  <c r="H61" i="17"/>
  <c r="R57" i="17"/>
  <c r="Q57" i="17"/>
  <c r="P57" i="17"/>
  <c r="N57" i="17"/>
  <c r="M57" i="17"/>
  <c r="L57" i="17"/>
  <c r="J57" i="17"/>
  <c r="I57" i="17"/>
  <c r="H57" i="17"/>
  <c r="R53" i="17"/>
  <c r="Q53" i="17"/>
  <c r="P53" i="17"/>
  <c r="N53" i="17"/>
  <c r="M53" i="17"/>
  <c r="L53" i="17"/>
  <c r="J53" i="17"/>
  <c r="I53" i="17"/>
  <c r="H53" i="17"/>
  <c r="R49" i="17"/>
  <c r="Q49" i="17"/>
  <c r="P49" i="17"/>
  <c r="N49" i="17"/>
  <c r="M49" i="17"/>
  <c r="L49" i="17"/>
  <c r="J49" i="17"/>
  <c r="I49" i="17"/>
  <c r="H49" i="17"/>
  <c r="R45" i="17"/>
  <c r="Q45" i="17"/>
  <c r="P45" i="17"/>
  <c r="N45" i="17"/>
  <c r="M45" i="17"/>
  <c r="L45" i="17"/>
  <c r="J45" i="17"/>
  <c r="I45" i="17"/>
  <c r="H45" i="17"/>
  <c r="R41" i="17"/>
  <c r="Q41" i="17"/>
  <c r="P41" i="17"/>
  <c r="N41" i="17"/>
  <c r="M41" i="17"/>
  <c r="L41" i="17"/>
  <c r="J41" i="17"/>
  <c r="I41" i="17"/>
  <c r="H41" i="17"/>
  <c r="R37" i="17"/>
  <c r="Q37" i="17"/>
  <c r="P37" i="17"/>
  <c r="N37" i="17"/>
  <c r="M37" i="17"/>
  <c r="L37" i="17"/>
  <c r="J37" i="17"/>
  <c r="I37" i="17"/>
  <c r="H37" i="17"/>
  <c r="R33" i="17"/>
  <c r="Q33" i="17"/>
  <c r="P33" i="17"/>
  <c r="N33" i="17"/>
  <c r="M33" i="17"/>
  <c r="L33" i="17"/>
  <c r="J33" i="17"/>
  <c r="I33" i="17"/>
  <c r="H33" i="17"/>
  <c r="R29" i="17"/>
  <c r="Q29" i="17"/>
  <c r="P29" i="17"/>
  <c r="N29" i="17"/>
  <c r="M29" i="17"/>
  <c r="L29" i="17"/>
  <c r="J29" i="17"/>
  <c r="I29" i="17"/>
  <c r="H29" i="17"/>
  <c r="R25" i="17"/>
  <c r="Q25" i="17"/>
  <c r="P25" i="17"/>
  <c r="N25" i="17"/>
  <c r="M25" i="17"/>
  <c r="L25" i="17"/>
  <c r="J25" i="17"/>
  <c r="I25" i="17"/>
  <c r="H25" i="17"/>
  <c r="E65" i="17"/>
  <c r="F65" i="17"/>
  <c r="V65" i="17" s="1"/>
  <c r="D65" i="17"/>
  <c r="E61" i="17"/>
  <c r="F61" i="17"/>
  <c r="D61" i="17"/>
  <c r="E57" i="17"/>
  <c r="F57" i="17"/>
  <c r="D57" i="17"/>
  <c r="E53" i="17"/>
  <c r="U53" i="17" s="1"/>
  <c r="F53" i="17"/>
  <c r="D53" i="17"/>
  <c r="E49" i="17"/>
  <c r="F49" i="17"/>
  <c r="V49" i="17" s="1"/>
  <c r="D49" i="17"/>
  <c r="E45" i="17"/>
  <c r="F45" i="17"/>
  <c r="D45" i="17"/>
  <c r="E41" i="17"/>
  <c r="F41" i="17"/>
  <c r="D41" i="17"/>
  <c r="E37" i="17"/>
  <c r="U37" i="17" s="1"/>
  <c r="F37" i="17"/>
  <c r="D37" i="17"/>
  <c r="E33" i="17"/>
  <c r="F33" i="17"/>
  <c r="V33" i="17" s="1"/>
  <c r="D33" i="17"/>
  <c r="E29" i="17"/>
  <c r="F29" i="17"/>
  <c r="D29" i="17"/>
  <c r="E25" i="17"/>
  <c r="F25" i="17"/>
  <c r="D25" i="17"/>
  <c r="E300" i="18"/>
  <c r="E20" i="17" s="1"/>
  <c r="F300" i="18"/>
  <c r="F20" i="17" s="1"/>
  <c r="D300" i="18"/>
  <c r="E14" i="17"/>
  <c r="U14" i="17" s="1"/>
  <c r="F14" i="17"/>
  <c r="V14" i="17" s="1"/>
  <c r="D14" i="17"/>
  <c r="T14" i="17" s="1"/>
  <c r="V143" i="17" l="1"/>
  <c r="V147" i="17"/>
  <c r="U154" i="17"/>
  <c r="U156" i="17"/>
  <c r="T29" i="17"/>
  <c r="T45" i="17"/>
  <c r="T61" i="17"/>
  <c r="T72" i="17"/>
  <c r="V75" i="17"/>
  <c r="U78" i="17"/>
  <c r="T84" i="17"/>
  <c r="V87" i="17"/>
  <c r="U93" i="17"/>
  <c r="T99" i="17"/>
  <c r="V102" i="17"/>
  <c r="U105" i="17"/>
  <c r="T111" i="17"/>
  <c r="V117" i="17"/>
  <c r="U120" i="17"/>
  <c r="V72" i="17"/>
  <c r="U75" i="17"/>
  <c r="V84" i="17"/>
  <c r="U87" i="17"/>
  <c r="V99" i="17"/>
  <c r="U102" i="17"/>
  <c r="V111" i="17"/>
  <c r="U117" i="17"/>
  <c r="U125" i="17"/>
  <c r="V141" i="17"/>
  <c r="U133" i="17"/>
  <c r="V133" i="17"/>
  <c r="V131" i="17"/>
  <c r="V139" i="17"/>
  <c r="V137" i="17"/>
  <c r="V129" i="17"/>
  <c r="V135" i="17"/>
  <c r="V68" i="17"/>
  <c r="T78" i="17"/>
  <c r="U84" i="17"/>
  <c r="T93" i="17"/>
  <c r="U99" i="17"/>
  <c r="T105" i="17"/>
  <c r="U111" i="17"/>
  <c r="T120" i="17"/>
  <c r="U25" i="17"/>
  <c r="V37" i="17"/>
  <c r="U41" i="17"/>
  <c r="V53" i="17"/>
  <c r="U57" i="17"/>
  <c r="U68" i="17"/>
  <c r="V154" i="17"/>
  <c r="V156" i="17"/>
  <c r="T25" i="17"/>
  <c r="V29" i="17"/>
  <c r="U33" i="17"/>
  <c r="T41" i="17"/>
  <c r="V45" i="17"/>
  <c r="U49" i="17"/>
  <c r="T57" i="17"/>
  <c r="V61" i="17"/>
  <c r="U65" i="17"/>
  <c r="T68" i="17"/>
  <c r="T81" i="17"/>
  <c r="T96" i="17"/>
  <c r="T108" i="17"/>
  <c r="V125" i="17"/>
  <c r="S125" i="17" s="1"/>
  <c r="V25" i="17"/>
  <c r="U29" i="17"/>
  <c r="T37" i="17"/>
  <c r="V41" i="17"/>
  <c r="U45" i="17"/>
  <c r="T53" i="17"/>
  <c r="V57" i="17"/>
  <c r="U61" i="17"/>
  <c r="U72" i="17"/>
  <c r="V81" i="17"/>
  <c r="V96" i="17"/>
  <c r="V108" i="17"/>
  <c r="T154" i="17"/>
  <c r="T156" i="17"/>
  <c r="T158" i="17"/>
  <c r="T33" i="17"/>
  <c r="T49" i="17"/>
  <c r="T65" i="17"/>
  <c r="S65" i="17" s="1"/>
  <c r="T75" i="17"/>
  <c r="S75" i="17" s="1"/>
  <c r="V78" i="17"/>
  <c r="S78" i="17" s="1"/>
  <c r="U81" i="17"/>
  <c r="T87" i="17"/>
  <c r="S87" i="17" s="1"/>
  <c r="V93" i="17"/>
  <c r="U96" i="17"/>
  <c r="T102" i="17"/>
  <c r="S102" i="17" s="1"/>
  <c r="V105" i="17"/>
  <c r="U108" i="17"/>
  <c r="T117" i="17"/>
  <c r="S117" i="17" s="1"/>
  <c r="V120" i="17"/>
  <c r="T129" i="17"/>
  <c r="T131" i="17"/>
  <c r="T133" i="17"/>
  <c r="T135" i="17"/>
  <c r="T137" i="17"/>
  <c r="T139" i="17"/>
  <c r="S139" i="17" s="1"/>
  <c r="T141" i="17"/>
  <c r="T143" i="17"/>
  <c r="S143" i="17" s="1"/>
  <c r="T147" i="17"/>
  <c r="S147" i="17" s="1"/>
  <c r="U158" i="17"/>
  <c r="D20" i="17"/>
  <c r="C71" i="17"/>
  <c r="K71" i="17"/>
  <c r="G125" i="17"/>
  <c r="K125" i="17"/>
  <c r="G71" i="17"/>
  <c r="O125" i="17"/>
  <c r="C125" i="17"/>
  <c r="S84" i="17" l="1"/>
  <c r="S99" i="17"/>
  <c r="S111" i="17"/>
  <c r="S131" i="17"/>
  <c r="S133" i="17"/>
  <c r="S137" i="17"/>
  <c r="S105" i="17"/>
  <c r="S135" i="17"/>
  <c r="S120" i="17"/>
  <c r="S68" i="17"/>
  <c r="S154" i="17"/>
  <c r="S81" i="17"/>
  <c r="S156" i="17"/>
  <c r="S108" i="17"/>
  <c r="S96" i="17"/>
  <c r="Q300" i="18"/>
  <c r="Q20" i="17" s="1"/>
  <c r="R300" i="18"/>
  <c r="R20" i="17" s="1"/>
  <c r="P300" i="18"/>
  <c r="P20" i="17" s="1"/>
  <c r="C335" i="18"/>
  <c r="K275" i="18" l="1"/>
  <c r="G275" i="18"/>
  <c r="C275" i="18"/>
  <c r="S275" i="18" l="1"/>
  <c r="C11" i="2" l="1"/>
  <c r="K278" i="18" l="1"/>
  <c r="G278" i="18"/>
  <c r="C278" i="18"/>
  <c r="K277" i="18"/>
  <c r="G277" i="18"/>
  <c r="C277" i="18"/>
  <c r="K276" i="18"/>
  <c r="G276" i="18"/>
  <c r="C276" i="18"/>
  <c r="K273" i="18"/>
  <c r="G273" i="18"/>
  <c r="C273" i="18"/>
  <c r="K272" i="18"/>
  <c r="G272" i="18"/>
  <c r="C272" i="18"/>
  <c r="K271" i="18"/>
  <c r="G271" i="18"/>
  <c r="C271" i="18"/>
  <c r="K270" i="18"/>
  <c r="G270" i="18"/>
  <c r="C270" i="18"/>
  <c r="K269" i="18"/>
  <c r="G269" i="18"/>
  <c r="C269" i="18"/>
  <c r="N268" i="18"/>
  <c r="N152" i="17" s="1"/>
  <c r="N150" i="17" s="1"/>
  <c r="M268" i="18"/>
  <c r="M152" i="17" s="1"/>
  <c r="M150" i="17" s="1"/>
  <c r="L268" i="18"/>
  <c r="J268" i="18"/>
  <c r="J152" i="17" s="1"/>
  <c r="J150" i="17" s="1"/>
  <c r="I268" i="18"/>
  <c r="I152" i="17" s="1"/>
  <c r="I150" i="17" s="1"/>
  <c r="H268" i="18"/>
  <c r="H152" i="17" s="1"/>
  <c r="H150" i="17" s="1"/>
  <c r="F268" i="18"/>
  <c r="E268" i="18"/>
  <c r="D268" i="18"/>
  <c r="K264" i="18"/>
  <c r="G264" i="18"/>
  <c r="C264" i="18"/>
  <c r="K263" i="18"/>
  <c r="G263" i="18"/>
  <c r="C263" i="18"/>
  <c r="G262" i="18"/>
  <c r="C262" i="18"/>
  <c r="K260" i="18"/>
  <c r="G260" i="18"/>
  <c r="C260" i="18"/>
  <c r="N259" i="18"/>
  <c r="M259" i="18"/>
  <c r="L259" i="18"/>
  <c r="J259" i="18"/>
  <c r="I259" i="18"/>
  <c r="H259" i="18"/>
  <c r="F259" i="18"/>
  <c r="E259" i="18"/>
  <c r="D259" i="18"/>
  <c r="D145" i="17" s="1"/>
  <c r="C250" i="18"/>
  <c r="G249" i="18"/>
  <c r="C249" i="18"/>
  <c r="K248" i="18"/>
  <c r="G248" i="18"/>
  <c r="C248" i="18"/>
  <c r="K247" i="18"/>
  <c r="G247" i="18"/>
  <c r="C247" i="18"/>
  <c r="D152" i="17" l="1"/>
  <c r="E152" i="17"/>
  <c r="F152" i="17"/>
  <c r="L145" i="17"/>
  <c r="E145" i="17"/>
  <c r="H145" i="17"/>
  <c r="M145" i="17"/>
  <c r="J145" i="17"/>
  <c r="I145" i="17"/>
  <c r="N145" i="17"/>
  <c r="F145" i="17"/>
  <c r="K268" i="18"/>
  <c r="L152" i="17"/>
  <c r="L150" i="17" s="1"/>
  <c r="K259" i="18"/>
  <c r="C259" i="18"/>
  <c r="C268" i="18"/>
  <c r="G259" i="18"/>
  <c r="G268" i="18"/>
  <c r="E150" i="17" l="1"/>
  <c r="F150" i="17"/>
  <c r="D150" i="17"/>
  <c r="U145" i="17"/>
  <c r="O175" i="18"/>
  <c r="K175" i="18"/>
  <c r="G175" i="18"/>
  <c r="S175" i="18" l="1"/>
  <c r="O54" i="18"/>
  <c r="K54" i="18"/>
  <c r="G54" i="18"/>
  <c r="C54" i="18"/>
  <c r="S54" i="18" l="1"/>
  <c r="O156" i="17" l="1"/>
  <c r="K156" i="17"/>
  <c r="G156" i="17"/>
  <c r="C156" i="17"/>
  <c r="R155" i="17"/>
  <c r="P155" i="17"/>
  <c r="N155" i="17"/>
  <c r="M155" i="17"/>
  <c r="L155" i="17"/>
  <c r="J155" i="17"/>
  <c r="I155" i="17"/>
  <c r="H155" i="17"/>
  <c r="F155" i="17"/>
  <c r="E155" i="17"/>
  <c r="D155" i="17"/>
  <c r="T155" i="17" l="1"/>
  <c r="U155" i="17"/>
  <c r="V155" i="17"/>
  <c r="C155" i="17"/>
  <c r="O155" i="17"/>
  <c r="G155" i="17"/>
  <c r="K155" i="17"/>
  <c r="S155" i="17" l="1"/>
  <c r="O109" i="18"/>
  <c r="K109" i="18"/>
  <c r="G109" i="18"/>
  <c r="C109" i="18"/>
  <c r="S109" i="18" l="1"/>
  <c r="C322" i="18" l="1"/>
  <c r="C324" i="18"/>
  <c r="R541" i="18" l="1"/>
  <c r="R158" i="17" l="1"/>
  <c r="O158" i="17" s="1"/>
  <c r="V541" i="18"/>
  <c r="I300" i="18"/>
  <c r="J300" i="18"/>
  <c r="H300" i="18"/>
  <c r="O309" i="18"/>
  <c r="K309" i="18"/>
  <c r="G309" i="18"/>
  <c r="C309" i="18"/>
  <c r="I20" i="17" l="1"/>
  <c r="J20" i="17"/>
  <c r="H20" i="17"/>
  <c r="S309" i="18"/>
  <c r="O195" i="18" l="1"/>
  <c r="K195" i="18"/>
  <c r="M310" i="18"/>
  <c r="M149" i="17" s="1"/>
  <c r="N310" i="18"/>
  <c r="N149" i="17" s="1"/>
  <c r="L310" i="18"/>
  <c r="L149" i="17" s="1"/>
  <c r="I310" i="18"/>
  <c r="I149" i="17" s="1"/>
  <c r="J310" i="18"/>
  <c r="J149" i="17" s="1"/>
  <c r="H310" i="18"/>
  <c r="H149" i="17" s="1"/>
  <c r="E310" i="18"/>
  <c r="E149" i="17" s="1"/>
  <c r="F310" i="18"/>
  <c r="F149" i="17" s="1"/>
  <c r="D310" i="18"/>
  <c r="D149" i="17" s="1"/>
  <c r="O311" i="18"/>
  <c r="O317" i="18"/>
  <c r="K311" i="18"/>
  <c r="K317" i="18"/>
  <c r="G311" i="18"/>
  <c r="G317" i="18"/>
  <c r="C311" i="18"/>
  <c r="C317" i="18"/>
  <c r="O537" i="18"/>
  <c r="K537" i="18"/>
  <c r="G537" i="18"/>
  <c r="C537" i="18"/>
  <c r="T149" i="17" l="1"/>
  <c r="V149" i="17"/>
  <c r="U149" i="17"/>
  <c r="S537" i="18"/>
  <c r="S311" i="18"/>
  <c r="U310" i="18"/>
  <c r="V310" i="18"/>
  <c r="S317" i="18"/>
  <c r="T310" i="18"/>
  <c r="S149" i="17" l="1"/>
  <c r="D53" i="1" l="1"/>
  <c r="G195" i="18"/>
  <c r="Q194" i="18"/>
  <c r="Q126" i="17" s="1"/>
  <c r="Q124" i="17" s="1"/>
  <c r="R194" i="18"/>
  <c r="R126" i="17" s="1"/>
  <c r="R124" i="17" s="1"/>
  <c r="P194" i="18"/>
  <c r="P126" i="17" s="1"/>
  <c r="P124" i="17" s="1"/>
  <c r="N194" i="18"/>
  <c r="N126" i="17" s="1"/>
  <c r="N124" i="17" s="1"/>
  <c r="M194" i="18"/>
  <c r="M126" i="17" s="1"/>
  <c r="M124" i="17" s="1"/>
  <c r="L194" i="18"/>
  <c r="L126" i="17" s="1"/>
  <c r="L124" i="17" s="1"/>
  <c r="J194" i="18"/>
  <c r="J126" i="17" s="1"/>
  <c r="J124" i="17" s="1"/>
  <c r="I194" i="18"/>
  <c r="I126" i="17" s="1"/>
  <c r="I124" i="17" s="1"/>
  <c r="H194" i="18"/>
  <c r="H126" i="17" s="1"/>
  <c r="H124" i="17" s="1"/>
  <c r="E194" i="18"/>
  <c r="F194" i="18"/>
  <c r="D194" i="18"/>
  <c r="C195" i="18"/>
  <c r="E126" i="17" l="1"/>
  <c r="U194" i="18"/>
  <c r="D126" i="17"/>
  <c r="T194" i="18"/>
  <c r="F126" i="17"/>
  <c r="V194" i="18"/>
  <c r="S66" i="18"/>
  <c r="S195" i="18"/>
  <c r="S80" i="18"/>
  <c r="D124" i="17" l="1"/>
  <c r="T124" i="17" s="1"/>
  <c r="T126" i="17"/>
  <c r="F124" i="17"/>
  <c r="V124" i="17" s="1"/>
  <c r="V126" i="17"/>
  <c r="E124" i="17"/>
  <c r="U124" i="17" s="1"/>
  <c r="U126" i="17"/>
  <c r="S126" i="17" l="1"/>
  <c r="S124" i="17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10" i="2"/>
  <c r="P153" i="17" l="1"/>
  <c r="N153" i="17"/>
  <c r="M153" i="17"/>
  <c r="L153" i="17"/>
  <c r="J153" i="17"/>
  <c r="I153" i="17"/>
  <c r="H153" i="17"/>
  <c r="D153" i="17"/>
  <c r="R153" i="17"/>
  <c r="R148" i="17"/>
  <c r="P148" i="17"/>
  <c r="N148" i="17"/>
  <c r="M148" i="17"/>
  <c r="J148" i="17"/>
  <c r="I148" i="17"/>
  <c r="H148" i="17"/>
  <c r="F148" i="17"/>
  <c r="E148" i="17"/>
  <c r="D148" i="17"/>
  <c r="R146" i="17"/>
  <c r="N146" i="17"/>
  <c r="M146" i="17"/>
  <c r="J146" i="17"/>
  <c r="I146" i="17"/>
  <c r="F146" i="17"/>
  <c r="N144" i="17"/>
  <c r="M144" i="17"/>
  <c r="L144" i="17"/>
  <c r="J144" i="17"/>
  <c r="I144" i="17"/>
  <c r="H144" i="17"/>
  <c r="D144" i="17"/>
  <c r="R142" i="17"/>
  <c r="N142" i="17"/>
  <c r="M142" i="17"/>
  <c r="L142" i="17"/>
  <c r="J142" i="17"/>
  <c r="I142" i="17"/>
  <c r="H142" i="17"/>
  <c r="R138" i="17"/>
  <c r="N138" i="17"/>
  <c r="M138" i="17"/>
  <c r="J138" i="17"/>
  <c r="I138" i="17"/>
  <c r="F138" i="17"/>
  <c r="E138" i="17"/>
  <c r="D138" i="17"/>
  <c r="R134" i="17"/>
  <c r="P134" i="17"/>
  <c r="M134" i="17"/>
  <c r="L134" i="17"/>
  <c r="I134" i="17"/>
  <c r="H134" i="17"/>
  <c r="E134" i="17"/>
  <c r="D134" i="17"/>
  <c r="R130" i="17"/>
  <c r="N130" i="17"/>
  <c r="M130" i="17"/>
  <c r="L130" i="17"/>
  <c r="J130" i="17"/>
  <c r="I130" i="17"/>
  <c r="F130" i="17"/>
  <c r="E130" i="17"/>
  <c r="R13" i="17"/>
  <c r="P13" i="17"/>
  <c r="N13" i="17"/>
  <c r="M13" i="17"/>
  <c r="L13" i="17"/>
  <c r="J13" i="17"/>
  <c r="I13" i="17"/>
  <c r="F13" i="17"/>
  <c r="E13" i="17"/>
  <c r="D13" i="17"/>
  <c r="O541" i="18"/>
  <c r="K541" i="18"/>
  <c r="G541" i="18"/>
  <c r="O538" i="18"/>
  <c r="K538" i="18"/>
  <c r="G538" i="18"/>
  <c r="C538" i="18"/>
  <c r="O536" i="18"/>
  <c r="K536" i="18"/>
  <c r="G536" i="18"/>
  <c r="C536" i="18"/>
  <c r="V533" i="18"/>
  <c r="O534" i="18"/>
  <c r="K534" i="18"/>
  <c r="G534" i="18"/>
  <c r="C534" i="18"/>
  <c r="R533" i="18"/>
  <c r="R66" i="17" s="1"/>
  <c r="Q533" i="18"/>
  <c r="Q66" i="17" s="1"/>
  <c r="P533" i="18"/>
  <c r="P66" i="17" s="1"/>
  <c r="N533" i="18"/>
  <c r="N66" i="17" s="1"/>
  <c r="M533" i="18"/>
  <c r="M66" i="17" s="1"/>
  <c r="L533" i="18"/>
  <c r="L66" i="17" s="1"/>
  <c r="J533" i="18"/>
  <c r="J66" i="17" s="1"/>
  <c r="I533" i="18"/>
  <c r="I66" i="17" s="1"/>
  <c r="H533" i="18"/>
  <c r="H66" i="17" s="1"/>
  <c r="F533" i="18"/>
  <c r="F66" i="17" s="1"/>
  <c r="E533" i="18"/>
  <c r="E66" i="17" s="1"/>
  <c r="D533" i="18"/>
  <c r="D66" i="17" s="1"/>
  <c r="O532" i="18"/>
  <c r="K532" i="18"/>
  <c r="G532" i="18"/>
  <c r="C532" i="18"/>
  <c r="U529" i="18"/>
  <c r="O530" i="18"/>
  <c r="K530" i="18"/>
  <c r="G530" i="18"/>
  <c r="C530" i="18"/>
  <c r="R529" i="18"/>
  <c r="Q529" i="18"/>
  <c r="P529" i="18"/>
  <c r="N529" i="18"/>
  <c r="M529" i="18"/>
  <c r="L529" i="18"/>
  <c r="J529" i="18"/>
  <c r="I529" i="18"/>
  <c r="H529" i="18"/>
  <c r="F529" i="18"/>
  <c r="E529" i="18"/>
  <c r="D529" i="18"/>
  <c r="O528" i="18"/>
  <c r="K528" i="18"/>
  <c r="G528" i="18"/>
  <c r="C528" i="18"/>
  <c r="T525" i="18"/>
  <c r="O526" i="18"/>
  <c r="K526" i="18"/>
  <c r="G526" i="18"/>
  <c r="C526" i="18"/>
  <c r="R525" i="18"/>
  <c r="R58" i="17" s="1"/>
  <c r="Q525" i="18"/>
  <c r="Q58" i="17" s="1"/>
  <c r="P525" i="18"/>
  <c r="P58" i="17" s="1"/>
  <c r="N525" i="18"/>
  <c r="N58" i="17" s="1"/>
  <c r="M525" i="18"/>
  <c r="M58" i="17" s="1"/>
  <c r="L525" i="18"/>
  <c r="L58" i="17" s="1"/>
  <c r="J525" i="18"/>
  <c r="J58" i="17" s="1"/>
  <c r="I525" i="18"/>
  <c r="I58" i="17" s="1"/>
  <c r="H525" i="18"/>
  <c r="H58" i="17" s="1"/>
  <c r="F525" i="18"/>
  <c r="F58" i="17" s="1"/>
  <c r="E525" i="18"/>
  <c r="E58" i="17" s="1"/>
  <c r="D525" i="18"/>
  <c r="D58" i="17" s="1"/>
  <c r="O524" i="18"/>
  <c r="K524" i="18"/>
  <c r="G524" i="18"/>
  <c r="C524" i="18"/>
  <c r="V521" i="18"/>
  <c r="O522" i="18"/>
  <c r="K522" i="18"/>
  <c r="G522" i="18"/>
  <c r="C522" i="18"/>
  <c r="R521" i="18"/>
  <c r="R54" i="17" s="1"/>
  <c r="Q521" i="18"/>
  <c r="Q54" i="17" s="1"/>
  <c r="P521" i="18"/>
  <c r="P54" i="17" s="1"/>
  <c r="N521" i="18"/>
  <c r="N54" i="17" s="1"/>
  <c r="M521" i="18"/>
  <c r="M54" i="17" s="1"/>
  <c r="L521" i="18"/>
  <c r="L54" i="17" s="1"/>
  <c r="J521" i="18"/>
  <c r="J54" i="17" s="1"/>
  <c r="I521" i="18"/>
  <c r="I54" i="17" s="1"/>
  <c r="H521" i="18"/>
  <c r="H54" i="17" s="1"/>
  <c r="F521" i="18"/>
  <c r="F54" i="17" s="1"/>
  <c r="E521" i="18"/>
  <c r="E54" i="17" s="1"/>
  <c r="D521" i="18"/>
  <c r="D54" i="17" s="1"/>
  <c r="O520" i="18"/>
  <c r="K520" i="18"/>
  <c r="G520" i="18"/>
  <c r="C520" i="18"/>
  <c r="U517" i="18"/>
  <c r="O518" i="18"/>
  <c r="K518" i="18"/>
  <c r="G518" i="18"/>
  <c r="C518" i="18"/>
  <c r="R517" i="18"/>
  <c r="R50" i="17" s="1"/>
  <c r="Q517" i="18"/>
  <c r="Q50" i="17" s="1"/>
  <c r="P517" i="18"/>
  <c r="P50" i="17" s="1"/>
  <c r="N517" i="18"/>
  <c r="N50" i="17" s="1"/>
  <c r="M517" i="18"/>
  <c r="M50" i="17" s="1"/>
  <c r="L517" i="18"/>
  <c r="L50" i="17" s="1"/>
  <c r="J517" i="18"/>
  <c r="J50" i="17" s="1"/>
  <c r="I517" i="18"/>
  <c r="I50" i="17" s="1"/>
  <c r="H517" i="18"/>
  <c r="H50" i="17" s="1"/>
  <c r="F517" i="18"/>
  <c r="F50" i="17" s="1"/>
  <c r="E517" i="18"/>
  <c r="E50" i="17" s="1"/>
  <c r="D517" i="18"/>
  <c r="D50" i="17" s="1"/>
  <c r="O516" i="18"/>
  <c r="K516" i="18"/>
  <c r="G516" i="18"/>
  <c r="C516" i="18"/>
  <c r="V513" i="18"/>
  <c r="U513" i="18"/>
  <c r="O514" i="18"/>
  <c r="K514" i="18"/>
  <c r="G514" i="18"/>
  <c r="C514" i="18"/>
  <c r="R513" i="18"/>
  <c r="R46" i="17" s="1"/>
  <c r="Q513" i="18"/>
  <c r="Q46" i="17" s="1"/>
  <c r="P513" i="18"/>
  <c r="P46" i="17" s="1"/>
  <c r="N513" i="18"/>
  <c r="N46" i="17" s="1"/>
  <c r="M513" i="18"/>
  <c r="M46" i="17" s="1"/>
  <c r="L513" i="18"/>
  <c r="L46" i="17" s="1"/>
  <c r="J513" i="18"/>
  <c r="J46" i="17" s="1"/>
  <c r="I513" i="18"/>
  <c r="I46" i="17" s="1"/>
  <c r="H513" i="18"/>
  <c r="H46" i="17" s="1"/>
  <c r="F513" i="18"/>
  <c r="F46" i="17" s="1"/>
  <c r="E513" i="18"/>
  <c r="E46" i="17" s="1"/>
  <c r="D513" i="18"/>
  <c r="D46" i="17" s="1"/>
  <c r="O512" i="18"/>
  <c r="K512" i="18"/>
  <c r="G512" i="18"/>
  <c r="C512" i="18"/>
  <c r="O510" i="18"/>
  <c r="K510" i="18"/>
  <c r="G510" i="18"/>
  <c r="C510" i="18"/>
  <c r="R509" i="18"/>
  <c r="R42" i="17" s="1"/>
  <c r="Q509" i="18"/>
  <c r="Q42" i="17" s="1"/>
  <c r="P509" i="18"/>
  <c r="P42" i="17" s="1"/>
  <c r="N509" i="18"/>
  <c r="N42" i="17" s="1"/>
  <c r="M509" i="18"/>
  <c r="M42" i="17" s="1"/>
  <c r="L509" i="18"/>
  <c r="L42" i="17" s="1"/>
  <c r="J509" i="18"/>
  <c r="J42" i="17" s="1"/>
  <c r="I509" i="18"/>
  <c r="I42" i="17" s="1"/>
  <c r="H509" i="18"/>
  <c r="H42" i="17" s="1"/>
  <c r="F509" i="18"/>
  <c r="F42" i="17" s="1"/>
  <c r="E509" i="18"/>
  <c r="E42" i="17" s="1"/>
  <c r="D509" i="18"/>
  <c r="D42" i="17" s="1"/>
  <c r="O508" i="18"/>
  <c r="K508" i="18"/>
  <c r="G508" i="18"/>
  <c r="C508" i="18"/>
  <c r="V505" i="18"/>
  <c r="O506" i="18"/>
  <c r="K506" i="18"/>
  <c r="G506" i="18"/>
  <c r="C506" i="18"/>
  <c r="R505" i="18"/>
  <c r="R38" i="17" s="1"/>
  <c r="Q505" i="18"/>
  <c r="Q38" i="17" s="1"/>
  <c r="P505" i="18"/>
  <c r="P38" i="17" s="1"/>
  <c r="N505" i="18"/>
  <c r="N38" i="17" s="1"/>
  <c r="M505" i="18"/>
  <c r="M38" i="17" s="1"/>
  <c r="L505" i="18"/>
  <c r="L38" i="17" s="1"/>
  <c r="J505" i="18"/>
  <c r="J38" i="17" s="1"/>
  <c r="I505" i="18"/>
  <c r="I38" i="17" s="1"/>
  <c r="H505" i="18"/>
  <c r="H38" i="17" s="1"/>
  <c r="F505" i="18"/>
  <c r="F38" i="17" s="1"/>
  <c r="E505" i="18"/>
  <c r="E38" i="17" s="1"/>
  <c r="D505" i="18"/>
  <c r="D38" i="17" s="1"/>
  <c r="O504" i="18"/>
  <c r="K504" i="18"/>
  <c r="G504" i="18"/>
  <c r="C504" i="18"/>
  <c r="T501" i="18"/>
  <c r="O502" i="18"/>
  <c r="K502" i="18"/>
  <c r="G502" i="18"/>
  <c r="C502" i="18"/>
  <c r="R501" i="18"/>
  <c r="R34" i="17" s="1"/>
  <c r="Q501" i="18"/>
  <c r="Q34" i="17" s="1"/>
  <c r="P501" i="18"/>
  <c r="P34" i="17" s="1"/>
  <c r="N501" i="18"/>
  <c r="N34" i="17" s="1"/>
  <c r="M501" i="18"/>
  <c r="M34" i="17" s="1"/>
  <c r="L501" i="18"/>
  <c r="L34" i="17" s="1"/>
  <c r="J501" i="18"/>
  <c r="J34" i="17" s="1"/>
  <c r="I501" i="18"/>
  <c r="I34" i="17" s="1"/>
  <c r="H501" i="18"/>
  <c r="H34" i="17" s="1"/>
  <c r="F501" i="18"/>
  <c r="F34" i="17" s="1"/>
  <c r="E501" i="18"/>
  <c r="E34" i="17" s="1"/>
  <c r="D501" i="18"/>
  <c r="D34" i="17" s="1"/>
  <c r="O500" i="18"/>
  <c r="K500" i="18"/>
  <c r="G500" i="18"/>
  <c r="C500" i="18"/>
  <c r="V497" i="18"/>
  <c r="T497" i="18"/>
  <c r="O498" i="18"/>
  <c r="K498" i="18"/>
  <c r="G498" i="18"/>
  <c r="C498" i="18"/>
  <c r="R497" i="18"/>
  <c r="R30" i="17" s="1"/>
  <c r="Q497" i="18"/>
  <c r="Q30" i="17" s="1"/>
  <c r="P497" i="18"/>
  <c r="P30" i="17" s="1"/>
  <c r="N497" i="18"/>
  <c r="N30" i="17" s="1"/>
  <c r="M497" i="18"/>
  <c r="M30" i="17" s="1"/>
  <c r="L497" i="18"/>
  <c r="L30" i="17" s="1"/>
  <c r="J497" i="18"/>
  <c r="J30" i="17" s="1"/>
  <c r="I497" i="18"/>
  <c r="I30" i="17" s="1"/>
  <c r="H497" i="18"/>
  <c r="H30" i="17" s="1"/>
  <c r="F497" i="18"/>
  <c r="F30" i="17" s="1"/>
  <c r="E497" i="18"/>
  <c r="E30" i="17" s="1"/>
  <c r="D497" i="18"/>
  <c r="D30" i="17" s="1"/>
  <c r="O495" i="18"/>
  <c r="K495" i="18"/>
  <c r="G495" i="18"/>
  <c r="C495" i="18"/>
  <c r="R494" i="18"/>
  <c r="R26" i="17" s="1"/>
  <c r="Q494" i="18"/>
  <c r="Q26" i="17" s="1"/>
  <c r="P494" i="18"/>
  <c r="P26" i="17" s="1"/>
  <c r="N494" i="18"/>
  <c r="N26" i="17" s="1"/>
  <c r="M494" i="18"/>
  <c r="M26" i="17" s="1"/>
  <c r="L494" i="18"/>
  <c r="L26" i="17" s="1"/>
  <c r="J494" i="18"/>
  <c r="J26" i="17" s="1"/>
  <c r="I494" i="18"/>
  <c r="I26" i="17" s="1"/>
  <c r="H494" i="18"/>
  <c r="H26" i="17" s="1"/>
  <c r="F494" i="18"/>
  <c r="F26" i="17" s="1"/>
  <c r="E494" i="18"/>
  <c r="E26" i="17" s="1"/>
  <c r="D26" i="17"/>
  <c r="O493" i="18"/>
  <c r="K493" i="18"/>
  <c r="G493" i="18"/>
  <c r="C493" i="18"/>
  <c r="O492" i="18"/>
  <c r="K492" i="18"/>
  <c r="G492" i="18"/>
  <c r="C492" i="18"/>
  <c r="O491" i="18"/>
  <c r="K491" i="18"/>
  <c r="G491" i="18"/>
  <c r="C491" i="18"/>
  <c r="O490" i="18"/>
  <c r="K490" i="18"/>
  <c r="G490" i="18"/>
  <c r="C490" i="18"/>
  <c r="O487" i="18"/>
  <c r="K487" i="18"/>
  <c r="H464" i="18"/>
  <c r="H22" i="17" s="1"/>
  <c r="C487" i="18"/>
  <c r="O486" i="18"/>
  <c r="K486" i="18"/>
  <c r="G486" i="18"/>
  <c r="C486" i="18"/>
  <c r="O485" i="18"/>
  <c r="K485" i="18"/>
  <c r="G485" i="18"/>
  <c r="C485" i="18"/>
  <c r="G483" i="18"/>
  <c r="C483" i="18"/>
  <c r="O482" i="18"/>
  <c r="K482" i="18"/>
  <c r="G482" i="18"/>
  <c r="C482" i="18"/>
  <c r="O481" i="18"/>
  <c r="K481" i="18"/>
  <c r="G481" i="18"/>
  <c r="C481" i="18"/>
  <c r="O480" i="18"/>
  <c r="K480" i="18"/>
  <c r="G480" i="18"/>
  <c r="C480" i="18"/>
  <c r="O479" i="18"/>
  <c r="K479" i="18"/>
  <c r="G479" i="18"/>
  <c r="C479" i="18"/>
  <c r="O478" i="18"/>
  <c r="K478" i="18"/>
  <c r="G478" i="18"/>
  <c r="C478" i="18"/>
  <c r="O476" i="18"/>
  <c r="K476" i="18"/>
  <c r="G476" i="18"/>
  <c r="C476" i="18"/>
  <c r="O467" i="18"/>
  <c r="K467" i="18"/>
  <c r="G467" i="18"/>
  <c r="O466" i="18"/>
  <c r="K466" i="18"/>
  <c r="G466" i="18"/>
  <c r="C466" i="18"/>
  <c r="O465" i="18"/>
  <c r="K465" i="18"/>
  <c r="G465" i="18"/>
  <c r="C465" i="18"/>
  <c r="R464" i="18"/>
  <c r="R22" i="17" s="1"/>
  <c r="Q464" i="18"/>
  <c r="Q22" i="17" s="1"/>
  <c r="P464" i="18"/>
  <c r="P22" i="17" s="1"/>
  <c r="N464" i="18"/>
  <c r="N22" i="17" s="1"/>
  <c r="M464" i="18"/>
  <c r="M22" i="17" s="1"/>
  <c r="L464" i="18"/>
  <c r="L22" i="17" s="1"/>
  <c r="J464" i="18"/>
  <c r="J22" i="17" s="1"/>
  <c r="F464" i="18"/>
  <c r="F22" i="17" s="1"/>
  <c r="E464" i="18"/>
  <c r="E22" i="17" s="1"/>
  <c r="D464" i="18"/>
  <c r="D22" i="17" s="1"/>
  <c r="O463" i="18"/>
  <c r="K463" i="18"/>
  <c r="G463" i="18"/>
  <c r="C463" i="18"/>
  <c r="O458" i="18"/>
  <c r="K458" i="18"/>
  <c r="G458" i="18"/>
  <c r="C458" i="18"/>
  <c r="O457" i="18"/>
  <c r="K457" i="18"/>
  <c r="G457" i="18"/>
  <c r="C457" i="18"/>
  <c r="V455" i="18"/>
  <c r="O456" i="18"/>
  <c r="K456" i="18"/>
  <c r="G456" i="18"/>
  <c r="C456" i="18"/>
  <c r="R455" i="18"/>
  <c r="R123" i="17" s="1"/>
  <c r="R122" i="17" s="1"/>
  <c r="Q455" i="18"/>
  <c r="Q123" i="17" s="1"/>
  <c r="Q122" i="17" s="1"/>
  <c r="P455" i="18"/>
  <c r="P123" i="17" s="1"/>
  <c r="P122" i="17" s="1"/>
  <c r="N455" i="18"/>
  <c r="N123" i="17" s="1"/>
  <c r="N122" i="17" s="1"/>
  <c r="M455" i="18"/>
  <c r="M123" i="17" s="1"/>
  <c r="M122" i="17" s="1"/>
  <c r="L455" i="18"/>
  <c r="L123" i="17" s="1"/>
  <c r="L122" i="17" s="1"/>
  <c r="J455" i="18"/>
  <c r="J123" i="17" s="1"/>
  <c r="J122" i="17" s="1"/>
  <c r="I455" i="18"/>
  <c r="I123" i="17" s="1"/>
  <c r="I122" i="17" s="1"/>
  <c r="H455" i="18"/>
  <c r="H123" i="17" s="1"/>
  <c r="H122" i="17" s="1"/>
  <c r="F455" i="18"/>
  <c r="F123" i="17" s="1"/>
  <c r="E455" i="18"/>
  <c r="E123" i="17" s="1"/>
  <c r="D455" i="18"/>
  <c r="D123" i="17" s="1"/>
  <c r="O454" i="18"/>
  <c r="K454" i="18"/>
  <c r="G454" i="18"/>
  <c r="C454" i="18"/>
  <c r="O453" i="18"/>
  <c r="K453" i="18"/>
  <c r="G453" i="18"/>
  <c r="C453" i="18"/>
  <c r="V451" i="18"/>
  <c r="O452" i="18"/>
  <c r="K452" i="18"/>
  <c r="G452" i="18"/>
  <c r="C452" i="18"/>
  <c r="R451" i="18"/>
  <c r="R121" i="17" s="1"/>
  <c r="Q451" i="18"/>
  <c r="Q121" i="17" s="1"/>
  <c r="P451" i="18"/>
  <c r="P121" i="17" s="1"/>
  <c r="N451" i="18"/>
  <c r="N121" i="17" s="1"/>
  <c r="M451" i="18"/>
  <c r="M121" i="17" s="1"/>
  <c r="L451" i="18"/>
  <c r="L121" i="17" s="1"/>
  <c r="J451" i="18"/>
  <c r="J121" i="17" s="1"/>
  <c r="F451" i="18"/>
  <c r="F121" i="17" s="1"/>
  <c r="E451" i="18"/>
  <c r="E121" i="17" s="1"/>
  <c r="D451" i="18"/>
  <c r="D121" i="17" s="1"/>
  <c r="O450" i="18"/>
  <c r="K450" i="18"/>
  <c r="G450" i="18"/>
  <c r="C450" i="18"/>
  <c r="O449" i="18"/>
  <c r="K449" i="18"/>
  <c r="G449" i="18"/>
  <c r="C449" i="18"/>
  <c r="O448" i="18"/>
  <c r="K448" i="18"/>
  <c r="I447" i="18"/>
  <c r="G448" i="18"/>
  <c r="C448" i="18"/>
  <c r="R447" i="18"/>
  <c r="R118" i="17" s="1"/>
  <c r="Q447" i="18"/>
  <c r="Q118" i="17" s="1"/>
  <c r="P447" i="18"/>
  <c r="P118" i="17" s="1"/>
  <c r="N447" i="18"/>
  <c r="N118" i="17" s="1"/>
  <c r="M447" i="18"/>
  <c r="M118" i="17" s="1"/>
  <c r="L447" i="18"/>
  <c r="L118" i="17" s="1"/>
  <c r="J447" i="18"/>
  <c r="J118" i="17" s="1"/>
  <c r="F447" i="18"/>
  <c r="E447" i="18"/>
  <c r="E118" i="17" s="1"/>
  <c r="D447" i="18"/>
  <c r="D118" i="17" s="1"/>
  <c r="O444" i="18"/>
  <c r="K444" i="18"/>
  <c r="G444" i="18"/>
  <c r="C444" i="18"/>
  <c r="O443" i="18"/>
  <c r="K443" i="18"/>
  <c r="C443" i="18"/>
  <c r="R442" i="18"/>
  <c r="R115" i="17" s="1"/>
  <c r="Q442" i="18"/>
  <c r="Q115" i="17" s="1"/>
  <c r="P442" i="18"/>
  <c r="P115" i="17" s="1"/>
  <c r="N442" i="18"/>
  <c r="N115" i="17" s="1"/>
  <c r="M442" i="18"/>
  <c r="M115" i="17" s="1"/>
  <c r="L442" i="18"/>
  <c r="L115" i="17" s="1"/>
  <c r="J442" i="18"/>
  <c r="J115" i="17" s="1"/>
  <c r="F442" i="18"/>
  <c r="E442" i="18"/>
  <c r="D442" i="18"/>
  <c r="D115" i="17" s="1"/>
  <c r="O439" i="18"/>
  <c r="K439" i="18"/>
  <c r="G439" i="18"/>
  <c r="C439" i="18"/>
  <c r="O438" i="18"/>
  <c r="K438" i="18"/>
  <c r="G438" i="18"/>
  <c r="C438" i="18"/>
  <c r="R437" i="18"/>
  <c r="R112" i="17" s="1"/>
  <c r="Q437" i="18"/>
  <c r="Q112" i="17" s="1"/>
  <c r="P437" i="18"/>
  <c r="P112" i="17" s="1"/>
  <c r="N437" i="18"/>
  <c r="N112" i="17" s="1"/>
  <c r="M437" i="18"/>
  <c r="M112" i="17" s="1"/>
  <c r="L437" i="18"/>
  <c r="L112" i="17" s="1"/>
  <c r="J437" i="18"/>
  <c r="J112" i="17" s="1"/>
  <c r="F437" i="18"/>
  <c r="F112" i="17" s="1"/>
  <c r="E437" i="18"/>
  <c r="E112" i="17" s="1"/>
  <c r="D437" i="18"/>
  <c r="D112" i="17" s="1"/>
  <c r="O434" i="18"/>
  <c r="K434" i="18"/>
  <c r="G434" i="18"/>
  <c r="C434" i="18"/>
  <c r="O431" i="18"/>
  <c r="K431" i="18"/>
  <c r="I430" i="18"/>
  <c r="I109" i="17" s="1"/>
  <c r="G431" i="18"/>
  <c r="C431" i="18"/>
  <c r="R430" i="18"/>
  <c r="R109" i="17" s="1"/>
  <c r="Q430" i="18"/>
  <c r="Q109" i="17" s="1"/>
  <c r="P430" i="18"/>
  <c r="P109" i="17" s="1"/>
  <c r="N430" i="18"/>
  <c r="N109" i="17" s="1"/>
  <c r="M430" i="18"/>
  <c r="M109" i="17" s="1"/>
  <c r="L430" i="18"/>
  <c r="L109" i="17" s="1"/>
  <c r="J430" i="18"/>
  <c r="J109" i="17" s="1"/>
  <c r="F430" i="18"/>
  <c r="F109" i="17" s="1"/>
  <c r="E430" i="18"/>
  <c r="E109" i="17" s="1"/>
  <c r="D430" i="18"/>
  <c r="D109" i="17" s="1"/>
  <c r="O427" i="18"/>
  <c r="K427" i="18"/>
  <c r="G427" i="18"/>
  <c r="C427" i="18"/>
  <c r="O425" i="18"/>
  <c r="K425" i="18"/>
  <c r="I424" i="18"/>
  <c r="I106" i="17" s="1"/>
  <c r="C425" i="18"/>
  <c r="R424" i="18"/>
  <c r="R106" i="17" s="1"/>
  <c r="Q424" i="18"/>
  <c r="Q106" i="17" s="1"/>
  <c r="P424" i="18"/>
  <c r="P106" i="17" s="1"/>
  <c r="N424" i="18"/>
  <c r="N106" i="17" s="1"/>
  <c r="M424" i="18"/>
  <c r="M106" i="17" s="1"/>
  <c r="L424" i="18"/>
  <c r="L106" i="17" s="1"/>
  <c r="J424" i="18"/>
  <c r="J106" i="17" s="1"/>
  <c r="F424" i="18"/>
  <c r="F106" i="17" s="1"/>
  <c r="E424" i="18"/>
  <c r="E106" i="17" s="1"/>
  <c r="D424" i="18"/>
  <c r="D106" i="17" s="1"/>
  <c r="O421" i="18"/>
  <c r="K421" i="18"/>
  <c r="G421" i="18"/>
  <c r="C421" i="18"/>
  <c r="O417" i="18"/>
  <c r="K417" i="18"/>
  <c r="G417" i="18"/>
  <c r="C417" i="18"/>
  <c r="R416" i="18"/>
  <c r="R103" i="17" s="1"/>
  <c r="Q416" i="18"/>
  <c r="Q103" i="17" s="1"/>
  <c r="P416" i="18"/>
  <c r="P103" i="17" s="1"/>
  <c r="N416" i="18"/>
  <c r="N103" i="17" s="1"/>
  <c r="M416" i="18"/>
  <c r="M103" i="17" s="1"/>
  <c r="L416" i="18"/>
  <c r="L103" i="17" s="1"/>
  <c r="J416" i="18"/>
  <c r="J103" i="17" s="1"/>
  <c r="F416" i="18"/>
  <c r="F103" i="17" s="1"/>
  <c r="E416" i="18"/>
  <c r="E103" i="17" s="1"/>
  <c r="D416" i="18"/>
  <c r="D103" i="17" s="1"/>
  <c r="O415" i="18"/>
  <c r="K415" i="18"/>
  <c r="G415" i="18"/>
  <c r="C415" i="18"/>
  <c r="O414" i="18"/>
  <c r="K414" i="18"/>
  <c r="G414" i="18"/>
  <c r="C414" i="18"/>
  <c r="V410" i="18"/>
  <c r="O411" i="18"/>
  <c r="K411" i="18"/>
  <c r="G411" i="18"/>
  <c r="C411" i="18"/>
  <c r="R410" i="18"/>
  <c r="R100" i="17" s="1"/>
  <c r="Q410" i="18"/>
  <c r="Q100" i="17" s="1"/>
  <c r="P410" i="18"/>
  <c r="P100" i="17" s="1"/>
  <c r="N410" i="18"/>
  <c r="N100" i="17" s="1"/>
  <c r="M410" i="18"/>
  <c r="M100" i="17" s="1"/>
  <c r="L410" i="18"/>
  <c r="L100" i="17" s="1"/>
  <c r="J410" i="18"/>
  <c r="J100" i="17" s="1"/>
  <c r="F410" i="18"/>
  <c r="F100" i="17" s="1"/>
  <c r="E410" i="18"/>
  <c r="E100" i="17" s="1"/>
  <c r="D410" i="18"/>
  <c r="D100" i="17" s="1"/>
  <c r="O409" i="18"/>
  <c r="K409" i="18"/>
  <c r="G409" i="18"/>
  <c r="C409" i="18"/>
  <c r="O407" i="18"/>
  <c r="K407" i="18"/>
  <c r="G407" i="18"/>
  <c r="C407" i="18"/>
  <c r="O406" i="18"/>
  <c r="K406" i="18"/>
  <c r="G406" i="18"/>
  <c r="C406" i="18"/>
  <c r="O403" i="18"/>
  <c r="K403" i="18"/>
  <c r="G403" i="18"/>
  <c r="C403" i="18"/>
  <c r="R402" i="18"/>
  <c r="Q402" i="18"/>
  <c r="P402" i="18"/>
  <c r="N402" i="18"/>
  <c r="M402" i="18"/>
  <c r="L402" i="18"/>
  <c r="J402" i="18"/>
  <c r="F402" i="18"/>
  <c r="E402" i="18"/>
  <c r="D402" i="18"/>
  <c r="O401" i="18"/>
  <c r="K401" i="18"/>
  <c r="G401" i="18"/>
  <c r="C401" i="18"/>
  <c r="O400" i="18"/>
  <c r="K400" i="18"/>
  <c r="G400" i="18"/>
  <c r="C400" i="18"/>
  <c r="O399" i="18"/>
  <c r="K399" i="18"/>
  <c r="G399" i="18"/>
  <c r="C399" i="18"/>
  <c r="O396" i="18"/>
  <c r="K396" i="18"/>
  <c r="C396" i="18"/>
  <c r="R395" i="18"/>
  <c r="R94" i="17" s="1"/>
  <c r="R91" i="17" s="1"/>
  <c r="Q395" i="18"/>
  <c r="Q94" i="17" s="1"/>
  <c r="Q91" i="17" s="1"/>
  <c r="P395" i="18"/>
  <c r="P94" i="17" s="1"/>
  <c r="P91" i="17" s="1"/>
  <c r="N395" i="18"/>
  <c r="N94" i="17" s="1"/>
  <c r="N91" i="17" s="1"/>
  <c r="M395" i="18"/>
  <c r="M94" i="17" s="1"/>
  <c r="M91" i="17" s="1"/>
  <c r="L395" i="18"/>
  <c r="L94" i="17" s="1"/>
  <c r="L91" i="17" s="1"/>
  <c r="J395" i="18"/>
  <c r="J94" i="17" s="1"/>
  <c r="J91" i="17" s="1"/>
  <c r="H395" i="18"/>
  <c r="H94" i="17" s="1"/>
  <c r="H91" i="17" s="1"/>
  <c r="F395" i="18"/>
  <c r="F94" i="17" s="1"/>
  <c r="E395" i="18"/>
  <c r="E94" i="17" s="1"/>
  <c r="D395" i="18"/>
  <c r="D94" i="17" s="1"/>
  <c r="O394" i="18"/>
  <c r="K394" i="18"/>
  <c r="G394" i="18"/>
  <c r="C394" i="18"/>
  <c r="O393" i="18"/>
  <c r="K393" i="18"/>
  <c r="G393" i="18"/>
  <c r="C393" i="18"/>
  <c r="O392" i="18"/>
  <c r="K392" i="18"/>
  <c r="G392" i="18"/>
  <c r="C392" i="18"/>
  <c r="R391" i="18"/>
  <c r="R90" i="17" s="1"/>
  <c r="R89" i="17" s="1"/>
  <c r="Q391" i="18"/>
  <c r="Q90" i="17" s="1"/>
  <c r="P391" i="18"/>
  <c r="P90" i="17" s="1"/>
  <c r="P89" i="17" s="1"/>
  <c r="N391" i="18"/>
  <c r="N90" i="17" s="1"/>
  <c r="N89" i="17" s="1"/>
  <c r="M391" i="18"/>
  <c r="M90" i="17" s="1"/>
  <c r="M89" i="17" s="1"/>
  <c r="L391" i="18"/>
  <c r="L90" i="17" s="1"/>
  <c r="L89" i="17" s="1"/>
  <c r="J391" i="18"/>
  <c r="J90" i="17" s="1"/>
  <c r="J89" i="17" s="1"/>
  <c r="F391" i="18"/>
  <c r="F90" i="17" s="1"/>
  <c r="E391" i="18"/>
  <c r="E90" i="17" s="1"/>
  <c r="D391" i="18"/>
  <c r="D90" i="17" s="1"/>
  <c r="O390" i="18"/>
  <c r="K390" i="18"/>
  <c r="G390" i="18"/>
  <c r="C390" i="18"/>
  <c r="O389" i="18"/>
  <c r="K389" i="18"/>
  <c r="G389" i="18"/>
  <c r="C389" i="18"/>
  <c r="O388" i="18"/>
  <c r="K388" i="18"/>
  <c r="G388" i="18"/>
  <c r="C388" i="18"/>
  <c r="O385" i="18"/>
  <c r="K385" i="18"/>
  <c r="C385" i="18"/>
  <c r="R384" i="18"/>
  <c r="R88" i="17" s="1"/>
  <c r="Q384" i="18"/>
  <c r="Q88" i="17" s="1"/>
  <c r="P384" i="18"/>
  <c r="P88" i="17" s="1"/>
  <c r="N384" i="18"/>
  <c r="N88" i="17" s="1"/>
  <c r="M384" i="18"/>
  <c r="M88" i="17" s="1"/>
  <c r="L384" i="18"/>
  <c r="L88" i="17" s="1"/>
  <c r="J384" i="18"/>
  <c r="J88" i="17" s="1"/>
  <c r="F384" i="18"/>
  <c r="F88" i="17" s="1"/>
  <c r="E384" i="18"/>
  <c r="E88" i="17" s="1"/>
  <c r="D384" i="18"/>
  <c r="D88" i="17" s="1"/>
  <c r="O381" i="18"/>
  <c r="K381" i="18"/>
  <c r="G381" i="18"/>
  <c r="C381" i="18"/>
  <c r="O380" i="18"/>
  <c r="K380" i="18"/>
  <c r="G380" i="18"/>
  <c r="C380" i="18"/>
  <c r="O376" i="18"/>
  <c r="K376" i="18"/>
  <c r="G376" i="18"/>
  <c r="C376" i="18"/>
  <c r="R375" i="18"/>
  <c r="R85" i="17" s="1"/>
  <c r="Q375" i="18"/>
  <c r="Q85" i="17" s="1"/>
  <c r="P375" i="18"/>
  <c r="P85" i="17" s="1"/>
  <c r="N375" i="18"/>
  <c r="N85" i="17" s="1"/>
  <c r="M375" i="18"/>
  <c r="M85" i="17" s="1"/>
  <c r="L375" i="18"/>
  <c r="L85" i="17" s="1"/>
  <c r="J375" i="18"/>
  <c r="J85" i="17" s="1"/>
  <c r="F375" i="18"/>
  <c r="F85" i="17" s="1"/>
  <c r="E375" i="18"/>
  <c r="E85" i="17" s="1"/>
  <c r="D375" i="18"/>
  <c r="D85" i="17" s="1"/>
  <c r="O374" i="18"/>
  <c r="K374" i="18"/>
  <c r="G374" i="18"/>
  <c r="C374" i="18"/>
  <c r="O373" i="18"/>
  <c r="K373" i="18"/>
  <c r="G373" i="18"/>
  <c r="C373" i="18"/>
  <c r="O372" i="18"/>
  <c r="K372" i="18"/>
  <c r="G372" i="18"/>
  <c r="C372" i="18"/>
  <c r="O369" i="18"/>
  <c r="K369" i="18"/>
  <c r="C369" i="18"/>
  <c r="R368" i="18"/>
  <c r="R82" i="17" s="1"/>
  <c r="Q368" i="18"/>
  <c r="Q82" i="17" s="1"/>
  <c r="P368" i="18"/>
  <c r="P82" i="17" s="1"/>
  <c r="N368" i="18"/>
  <c r="N82" i="17" s="1"/>
  <c r="M368" i="18"/>
  <c r="M82" i="17" s="1"/>
  <c r="L368" i="18"/>
  <c r="L82" i="17" s="1"/>
  <c r="J368" i="18"/>
  <c r="J82" i="17" s="1"/>
  <c r="F368" i="18"/>
  <c r="F82" i="17" s="1"/>
  <c r="E368" i="18"/>
  <c r="E82" i="17" s="1"/>
  <c r="D368" i="18"/>
  <c r="D82" i="17" s="1"/>
  <c r="O367" i="18"/>
  <c r="K367" i="18"/>
  <c r="G367" i="18"/>
  <c r="C367" i="18"/>
  <c r="O366" i="18"/>
  <c r="K366" i="18"/>
  <c r="G366" i="18"/>
  <c r="C366" i="18"/>
  <c r="O365" i="18"/>
  <c r="K365" i="18"/>
  <c r="G365" i="18"/>
  <c r="C365" i="18"/>
  <c r="O362" i="18"/>
  <c r="K362" i="18"/>
  <c r="G362" i="18"/>
  <c r="C362" i="18"/>
  <c r="R361" i="18"/>
  <c r="R79" i="17" s="1"/>
  <c r="Q361" i="18"/>
  <c r="Q79" i="17" s="1"/>
  <c r="P361" i="18"/>
  <c r="P79" i="17" s="1"/>
  <c r="N361" i="18"/>
  <c r="N79" i="17" s="1"/>
  <c r="M361" i="18"/>
  <c r="M79" i="17" s="1"/>
  <c r="L361" i="18"/>
  <c r="L79" i="17" s="1"/>
  <c r="J361" i="18"/>
  <c r="J79" i="17" s="1"/>
  <c r="F361" i="18"/>
  <c r="E361" i="18"/>
  <c r="D361" i="18"/>
  <c r="D79" i="17" s="1"/>
  <c r="O358" i="18"/>
  <c r="K358" i="18"/>
  <c r="G358" i="18"/>
  <c r="C358" i="18"/>
  <c r="O357" i="18"/>
  <c r="K357" i="18"/>
  <c r="G357" i="18"/>
  <c r="C357" i="18"/>
  <c r="O354" i="18"/>
  <c r="K354" i="18"/>
  <c r="I353" i="18"/>
  <c r="I76" i="17" s="1"/>
  <c r="C354" i="18"/>
  <c r="R353" i="18"/>
  <c r="R76" i="17" s="1"/>
  <c r="Q353" i="18"/>
  <c r="Q76" i="17" s="1"/>
  <c r="P353" i="18"/>
  <c r="P76" i="17" s="1"/>
  <c r="N353" i="18"/>
  <c r="N76" i="17" s="1"/>
  <c r="M353" i="18"/>
  <c r="M76" i="17" s="1"/>
  <c r="L353" i="18"/>
  <c r="L76" i="17" s="1"/>
  <c r="J353" i="18"/>
  <c r="J76" i="17" s="1"/>
  <c r="H353" i="18"/>
  <c r="F353" i="18"/>
  <c r="E353" i="18"/>
  <c r="D353" i="18"/>
  <c r="D76" i="17" s="1"/>
  <c r="O352" i="18"/>
  <c r="K352" i="18"/>
  <c r="G352" i="18"/>
  <c r="C352" i="18"/>
  <c r="O351" i="18"/>
  <c r="K351" i="18"/>
  <c r="G351" i="18"/>
  <c r="C351" i="18"/>
  <c r="O350" i="18"/>
  <c r="K350" i="18"/>
  <c r="G350" i="18"/>
  <c r="C350" i="18"/>
  <c r="O346" i="18"/>
  <c r="K346" i="18"/>
  <c r="I73" i="17"/>
  <c r="I70" i="17" s="1"/>
  <c r="C346" i="18"/>
  <c r="R345" i="18"/>
  <c r="R73" i="17" s="1"/>
  <c r="R70" i="17" s="1"/>
  <c r="Q345" i="18"/>
  <c r="Q73" i="17" s="1"/>
  <c r="P345" i="18"/>
  <c r="P73" i="17" s="1"/>
  <c r="N345" i="18"/>
  <c r="N73" i="17" s="1"/>
  <c r="N70" i="17" s="1"/>
  <c r="M345" i="18"/>
  <c r="M73" i="17" s="1"/>
  <c r="M70" i="17" s="1"/>
  <c r="L345" i="18"/>
  <c r="L73" i="17" s="1"/>
  <c r="L70" i="17" s="1"/>
  <c r="J73" i="17"/>
  <c r="J70" i="17" s="1"/>
  <c r="H73" i="17"/>
  <c r="H70" i="17" s="1"/>
  <c r="F345" i="18"/>
  <c r="E345" i="18"/>
  <c r="D345" i="18"/>
  <c r="O344" i="18"/>
  <c r="K344" i="18"/>
  <c r="G344" i="18"/>
  <c r="C344" i="18"/>
  <c r="O342" i="18"/>
  <c r="K342" i="18"/>
  <c r="G342" i="18"/>
  <c r="C342" i="18"/>
  <c r="O341" i="18"/>
  <c r="K341" i="18"/>
  <c r="G341" i="18"/>
  <c r="C341" i="18"/>
  <c r="O338" i="18"/>
  <c r="K338" i="18"/>
  <c r="I337" i="18"/>
  <c r="I69" i="17" s="1"/>
  <c r="G338" i="18"/>
  <c r="C338" i="18"/>
  <c r="R337" i="18"/>
  <c r="R69" i="17" s="1"/>
  <c r="Q337" i="18"/>
  <c r="Q69" i="17" s="1"/>
  <c r="P337" i="18"/>
  <c r="P69" i="17" s="1"/>
  <c r="N337" i="18"/>
  <c r="N69" i="17" s="1"/>
  <c r="M337" i="18"/>
  <c r="M69" i="17" s="1"/>
  <c r="L337" i="18"/>
  <c r="L69" i="17" s="1"/>
  <c r="J337" i="18"/>
  <c r="J69" i="17" s="1"/>
  <c r="F337" i="18"/>
  <c r="F69" i="17" s="1"/>
  <c r="E337" i="18"/>
  <c r="E69" i="17" s="1"/>
  <c r="D337" i="18"/>
  <c r="D69" i="17" s="1"/>
  <c r="O326" i="18"/>
  <c r="K326" i="18"/>
  <c r="C326" i="18"/>
  <c r="O325" i="18"/>
  <c r="K325" i="18"/>
  <c r="C325" i="18"/>
  <c r="O322" i="18"/>
  <c r="K322" i="18"/>
  <c r="O321" i="18"/>
  <c r="K321" i="18"/>
  <c r="C321" i="18"/>
  <c r="R320" i="18"/>
  <c r="Q320" i="18"/>
  <c r="P320" i="18"/>
  <c r="N320" i="18"/>
  <c r="M320" i="18"/>
  <c r="L320" i="18"/>
  <c r="J320" i="18"/>
  <c r="I320" i="18"/>
  <c r="H320" i="18"/>
  <c r="F320" i="18"/>
  <c r="E320" i="18"/>
  <c r="D320" i="18"/>
  <c r="O310" i="18"/>
  <c r="K310" i="18"/>
  <c r="G310" i="18"/>
  <c r="C310" i="18"/>
  <c r="O301" i="18"/>
  <c r="K301" i="18"/>
  <c r="G301" i="18"/>
  <c r="C301" i="18"/>
  <c r="Q318" i="18"/>
  <c r="P318" i="18"/>
  <c r="N300" i="18"/>
  <c r="M300" i="18"/>
  <c r="L300" i="18"/>
  <c r="J318" i="18"/>
  <c r="I318" i="18"/>
  <c r="H318" i="18"/>
  <c r="F318" i="18"/>
  <c r="E318" i="18"/>
  <c r="O297" i="18"/>
  <c r="K297" i="18"/>
  <c r="G297" i="18"/>
  <c r="C297" i="18"/>
  <c r="O296" i="18"/>
  <c r="K296" i="18"/>
  <c r="G296" i="18"/>
  <c r="C296" i="18"/>
  <c r="O295" i="18"/>
  <c r="K295" i="18"/>
  <c r="G295" i="18"/>
  <c r="C295" i="18"/>
  <c r="O294" i="18"/>
  <c r="K294" i="18"/>
  <c r="G294" i="18"/>
  <c r="C294" i="18"/>
  <c r="R293" i="18"/>
  <c r="R114" i="17" s="1"/>
  <c r="Q293" i="18"/>
  <c r="Q114" i="17" s="1"/>
  <c r="P293" i="18"/>
  <c r="P114" i="17" s="1"/>
  <c r="N293" i="18"/>
  <c r="M293" i="18"/>
  <c r="L293" i="18"/>
  <c r="J293" i="18"/>
  <c r="I293" i="18"/>
  <c r="H293" i="18"/>
  <c r="F293" i="18"/>
  <c r="E293" i="18"/>
  <c r="D293" i="18"/>
  <c r="O292" i="18"/>
  <c r="K292" i="18"/>
  <c r="G292" i="18"/>
  <c r="C292" i="18"/>
  <c r="O291" i="18"/>
  <c r="K291" i="18"/>
  <c r="G291" i="18"/>
  <c r="C291" i="18"/>
  <c r="O288" i="18"/>
  <c r="K288" i="18"/>
  <c r="G288" i="18"/>
  <c r="C288" i="18"/>
  <c r="O287" i="18"/>
  <c r="K287" i="18"/>
  <c r="G287" i="18"/>
  <c r="C287" i="18"/>
  <c r="O286" i="18"/>
  <c r="K286" i="18"/>
  <c r="G286" i="18"/>
  <c r="C286" i="18"/>
  <c r="O285" i="18"/>
  <c r="K285" i="18"/>
  <c r="G285" i="18"/>
  <c r="C285" i="18"/>
  <c r="O284" i="18"/>
  <c r="K284" i="18"/>
  <c r="G284" i="18"/>
  <c r="C284" i="18"/>
  <c r="O283" i="18"/>
  <c r="K283" i="18"/>
  <c r="G283" i="18"/>
  <c r="C283" i="18"/>
  <c r="O282" i="18"/>
  <c r="K282" i="18"/>
  <c r="G282" i="18"/>
  <c r="C282" i="18"/>
  <c r="O281" i="18"/>
  <c r="K281" i="18"/>
  <c r="G281" i="18"/>
  <c r="C281" i="18"/>
  <c r="O280" i="18"/>
  <c r="K280" i="18"/>
  <c r="G280" i="18"/>
  <c r="C280" i="18"/>
  <c r="O279" i="18"/>
  <c r="K279" i="18"/>
  <c r="G279" i="18"/>
  <c r="C279" i="18"/>
  <c r="R268" i="18"/>
  <c r="Q268" i="18"/>
  <c r="P268" i="18"/>
  <c r="R259" i="18"/>
  <c r="V259" i="18" s="1"/>
  <c r="Q259" i="18"/>
  <c r="U259" i="18" s="1"/>
  <c r="P259" i="18"/>
  <c r="T259" i="18" s="1"/>
  <c r="O246" i="18"/>
  <c r="K246" i="18"/>
  <c r="G246" i="18"/>
  <c r="C246" i="18"/>
  <c r="O245" i="18"/>
  <c r="K245" i="18"/>
  <c r="G245" i="18"/>
  <c r="C245" i="18"/>
  <c r="O244" i="18"/>
  <c r="K244" i="18"/>
  <c r="G244" i="18"/>
  <c r="C244" i="18"/>
  <c r="O243" i="18"/>
  <c r="K243" i="18"/>
  <c r="G243" i="18"/>
  <c r="C243" i="18"/>
  <c r="O242" i="18"/>
  <c r="K242" i="18"/>
  <c r="G242" i="18"/>
  <c r="C242" i="18"/>
  <c r="O241" i="18"/>
  <c r="K241" i="18"/>
  <c r="G241" i="18"/>
  <c r="C241" i="18"/>
  <c r="O240" i="18"/>
  <c r="K240" i="18"/>
  <c r="G240" i="18"/>
  <c r="D236" i="18"/>
  <c r="O239" i="18"/>
  <c r="K239" i="18"/>
  <c r="G239" i="18"/>
  <c r="C239" i="18"/>
  <c r="O238" i="18"/>
  <c r="K238" i="18"/>
  <c r="G238" i="18"/>
  <c r="C238" i="18"/>
  <c r="O237" i="18"/>
  <c r="K237" i="18"/>
  <c r="G237" i="18"/>
  <c r="C237" i="18"/>
  <c r="O233" i="18"/>
  <c r="K233" i="18"/>
  <c r="G233" i="18"/>
  <c r="C233" i="18"/>
  <c r="O232" i="18"/>
  <c r="K232" i="18"/>
  <c r="G232" i="18"/>
  <c r="C232" i="18"/>
  <c r="O231" i="18"/>
  <c r="K231" i="18"/>
  <c r="G231" i="18"/>
  <c r="C231" i="18"/>
  <c r="O230" i="18"/>
  <c r="K230" i="18"/>
  <c r="G230" i="18"/>
  <c r="C230" i="18"/>
  <c r="O229" i="18"/>
  <c r="K229" i="18"/>
  <c r="G229" i="18"/>
  <c r="C229" i="18"/>
  <c r="O228" i="18"/>
  <c r="K228" i="18"/>
  <c r="G228" i="18"/>
  <c r="C228" i="18"/>
  <c r="O227" i="18"/>
  <c r="K227" i="18"/>
  <c r="G227" i="18"/>
  <c r="C227" i="18"/>
  <c r="O226" i="18"/>
  <c r="K226" i="18"/>
  <c r="G226" i="18"/>
  <c r="C226" i="18"/>
  <c r="O225" i="18"/>
  <c r="K225" i="18"/>
  <c r="G225" i="18"/>
  <c r="C225" i="18"/>
  <c r="O224" i="18"/>
  <c r="K224" i="18"/>
  <c r="G224" i="18"/>
  <c r="C224" i="18"/>
  <c r="O223" i="18"/>
  <c r="K223" i="18"/>
  <c r="G223" i="18"/>
  <c r="C223" i="18"/>
  <c r="O220" i="18"/>
  <c r="K220" i="18"/>
  <c r="G220" i="18"/>
  <c r="C220" i="18"/>
  <c r="O217" i="18"/>
  <c r="K217" i="18"/>
  <c r="G217" i="18"/>
  <c r="C217" i="18"/>
  <c r="O213" i="18"/>
  <c r="C213" i="18"/>
  <c r="O210" i="18"/>
  <c r="K210" i="18"/>
  <c r="G210" i="18"/>
  <c r="C210" i="18"/>
  <c r="O207" i="18"/>
  <c r="K207" i="18"/>
  <c r="G207" i="18"/>
  <c r="C207" i="18"/>
  <c r="O204" i="18"/>
  <c r="K204" i="18"/>
  <c r="G204" i="18"/>
  <c r="C204" i="18"/>
  <c r="O201" i="18"/>
  <c r="K201" i="18"/>
  <c r="G201" i="18"/>
  <c r="C201" i="18"/>
  <c r="O198" i="18"/>
  <c r="K198" i="18"/>
  <c r="G198" i="18"/>
  <c r="C198" i="18"/>
  <c r="O194" i="18"/>
  <c r="K194" i="18"/>
  <c r="G194" i="18"/>
  <c r="C194" i="18"/>
  <c r="O193" i="18"/>
  <c r="K193" i="18"/>
  <c r="G193" i="18"/>
  <c r="C193" i="18"/>
  <c r="O191" i="18"/>
  <c r="K191" i="18"/>
  <c r="G191" i="18"/>
  <c r="C191" i="18"/>
  <c r="O190" i="18"/>
  <c r="K190" i="18"/>
  <c r="G190" i="18"/>
  <c r="C190" i="18"/>
  <c r="O189" i="18"/>
  <c r="K189" i="18"/>
  <c r="G189" i="18"/>
  <c r="C189" i="18"/>
  <c r="O186" i="18"/>
  <c r="K186" i="18"/>
  <c r="G186" i="18"/>
  <c r="C186" i="18"/>
  <c r="R185" i="18"/>
  <c r="Q185" i="18"/>
  <c r="P185" i="18"/>
  <c r="N185" i="18"/>
  <c r="M185" i="18"/>
  <c r="L185" i="18"/>
  <c r="J185" i="18"/>
  <c r="I185" i="18"/>
  <c r="H185" i="18"/>
  <c r="F185" i="18"/>
  <c r="E185" i="18"/>
  <c r="D185" i="18"/>
  <c r="O174" i="18"/>
  <c r="K174" i="18"/>
  <c r="G174" i="18"/>
  <c r="C174" i="18"/>
  <c r="O172" i="18"/>
  <c r="K172" i="18"/>
  <c r="G172" i="18"/>
  <c r="C172" i="18"/>
  <c r="O171" i="18"/>
  <c r="K171" i="18"/>
  <c r="G171" i="18"/>
  <c r="C171" i="18"/>
  <c r="O170" i="18"/>
  <c r="K170" i="18"/>
  <c r="G170" i="18"/>
  <c r="C170" i="18"/>
  <c r="O168" i="18"/>
  <c r="K168" i="18"/>
  <c r="G168" i="18"/>
  <c r="C168" i="18"/>
  <c r="R167" i="18"/>
  <c r="R64" i="17" s="1"/>
  <c r="Q167" i="18"/>
  <c r="Q64" i="17" s="1"/>
  <c r="P167" i="18"/>
  <c r="P64" i="17" s="1"/>
  <c r="N167" i="18"/>
  <c r="N64" i="17" s="1"/>
  <c r="M167" i="18"/>
  <c r="M64" i="17" s="1"/>
  <c r="L167" i="18"/>
  <c r="L64" i="17" s="1"/>
  <c r="J167" i="18"/>
  <c r="J64" i="17" s="1"/>
  <c r="I167" i="18"/>
  <c r="I64" i="17" s="1"/>
  <c r="H167" i="18"/>
  <c r="H64" i="17" s="1"/>
  <c r="F167" i="18"/>
  <c r="E167" i="18"/>
  <c r="D167" i="18"/>
  <c r="O166" i="18"/>
  <c r="K166" i="18"/>
  <c r="G166" i="18"/>
  <c r="C166" i="18"/>
  <c r="O164" i="18"/>
  <c r="K164" i="18"/>
  <c r="G164" i="18"/>
  <c r="C164" i="18"/>
  <c r="O162" i="18"/>
  <c r="K162" i="18"/>
  <c r="G162" i="18"/>
  <c r="C162" i="18"/>
  <c r="O160" i="18"/>
  <c r="K160" i="18"/>
  <c r="G160" i="18"/>
  <c r="C160" i="18"/>
  <c r="R159" i="18"/>
  <c r="R60" i="17" s="1"/>
  <c r="Q159" i="18"/>
  <c r="Q60" i="17" s="1"/>
  <c r="P159" i="18"/>
  <c r="P60" i="17" s="1"/>
  <c r="N159" i="18"/>
  <c r="N60" i="17" s="1"/>
  <c r="M159" i="18"/>
  <c r="M60" i="17" s="1"/>
  <c r="L159" i="18"/>
  <c r="L60" i="17" s="1"/>
  <c r="J159" i="18"/>
  <c r="J60" i="17" s="1"/>
  <c r="I159" i="18"/>
  <c r="I60" i="17" s="1"/>
  <c r="H159" i="18"/>
  <c r="H60" i="17" s="1"/>
  <c r="F159" i="18"/>
  <c r="E159" i="18"/>
  <c r="D159" i="18"/>
  <c r="O158" i="18"/>
  <c r="K158" i="18"/>
  <c r="G158" i="18"/>
  <c r="C158" i="18"/>
  <c r="O156" i="18"/>
  <c r="K156" i="18"/>
  <c r="G156" i="18"/>
  <c r="C156" i="18"/>
  <c r="O154" i="18"/>
  <c r="K154" i="18"/>
  <c r="G154" i="18"/>
  <c r="C154" i="18"/>
  <c r="O153" i="18"/>
  <c r="K153" i="18"/>
  <c r="G153" i="18"/>
  <c r="C153" i="18"/>
  <c r="O152" i="18"/>
  <c r="K152" i="18"/>
  <c r="G152" i="18"/>
  <c r="C152" i="18"/>
  <c r="R151" i="18"/>
  <c r="R56" i="17" s="1"/>
  <c r="Q151" i="18"/>
  <c r="Q56" i="17" s="1"/>
  <c r="P151" i="18"/>
  <c r="P56" i="17" s="1"/>
  <c r="N151" i="18"/>
  <c r="N56" i="17" s="1"/>
  <c r="M151" i="18"/>
  <c r="M56" i="17" s="1"/>
  <c r="L151" i="18"/>
  <c r="L56" i="17" s="1"/>
  <c r="J151" i="18"/>
  <c r="J56" i="17" s="1"/>
  <c r="I151" i="18"/>
  <c r="I56" i="17" s="1"/>
  <c r="H151" i="18"/>
  <c r="H56" i="17" s="1"/>
  <c r="F151" i="18"/>
  <c r="E151" i="18"/>
  <c r="D151" i="18"/>
  <c r="O150" i="18"/>
  <c r="K150" i="18"/>
  <c r="G150" i="18"/>
  <c r="C150" i="18"/>
  <c r="O147" i="18"/>
  <c r="K147" i="18"/>
  <c r="G147" i="18"/>
  <c r="C147" i="18"/>
  <c r="R145" i="18"/>
  <c r="R52" i="17" s="1"/>
  <c r="Q145" i="18"/>
  <c r="Q52" i="17" s="1"/>
  <c r="P145" i="18"/>
  <c r="P52" i="17" s="1"/>
  <c r="N145" i="18"/>
  <c r="N52" i="17" s="1"/>
  <c r="M145" i="18"/>
  <c r="M52" i="17" s="1"/>
  <c r="L145" i="18"/>
  <c r="L52" i="17" s="1"/>
  <c r="J145" i="18"/>
  <c r="J52" i="17" s="1"/>
  <c r="I145" i="18"/>
  <c r="I52" i="17" s="1"/>
  <c r="H145" i="18"/>
  <c r="H52" i="17" s="1"/>
  <c r="F145" i="18"/>
  <c r="E145" i="18"/>
  <c r="D145" i="18"/>
  <c r="O144" i="18"/>
  <c r="K144" i="18"/>
  <c r="G144" i="18"/>
  <c r="C144" i="18"/>
  <c r="O142" i="18"/>
  <c r="K142" i="18"/>
  <c r="G142" i="18"/>
  <c r="C142" i="18"/>
  <c r="O141" i="18"/>
  <c r="K141" i="18"/>
  <c r="G141" i="18"/>
  <c r="C141" i="18"/>
  <c r="O140" i="18"/>
  <c r="K140" i="18"/>
  <c r="G140" i="18"/>
  <c r="C140" i="18"/>
  <c r="O139" i="18"/>
  <c r="K139" i="18"/>
  <c r="G139" i="18"/>
  <c r="C139" i="18"/>
  <c r="O138" i="18"/>
  <c r="K138" i="18"/>
  <c r="G138" i="18"/>
  <c r="C138" i="18"/>
  <c r="O137" i="18"/>
  <c r="K137" i="18"/>
  <c r="G137" i="18"/>
  <c r="C137" i="18"/>
  <c r="R136" i="18"/>
  <c r="Q136" i="18"/>
  <c r="P136" i="18"/>
  <c r="N136" i="18"/>
  <c r="M136" i="18"/>
  <c r="L136" i="18"/>
  <c r="J136" i="18"/>
  <c r="I136" i="18"/>
  <c r="H136" i="18"/>
  <c r="F136" i="18"/>
  <c r="E136" i="18"/>
  <c r="D136" i="18"/>
  <c r="O135" i="18"/>
  <c r="K135" i="18"/>
  <c r="G135" i="18"/>
  <c r="C135" i="18"/>
  <c r="O133" i="18"/>
  <c r="K133" i="18"/>
  <c r="G133" i="18"/>
  <c r="C133" i="18"/>
  <c r="O132" i="18"/>
  <c r="K132" i="18"/>
  <c r="G132" i="18"/>
  <c r="C132" i="18"/>
  <c r="O131" i="18"/>
  <c r="K131" i="18"/>
  <c r="G131" i="18"/>
  <c r="C131" i="18"/>
  <c r="O130" i="18"/>
  <c r="K130" i="18"/>
  <c r="G130" i="18"/>
  <c r="C130" i="18"/>
  <c r="O129" i="18"/>
  <c r="K129" i="18"/>
  <c r="G129" i="18"/>
  <c r="C129" i="18"/>
  <c r="O128" i="18"/>
  <c r="K128" i="18"/>
  <c r="G128" i="18"/>
  <c r="C128" i="18"/>
  <c r="R127" i="18"/>
  <c r="R44" i="17" s="1"/>
  <c r="Q127" i="18"/>
  <c r="Q44" i="17" s="1"/>
  <c r="P127" i="18"/>
  <c r="P44" i="17" s="1"/>
  <c r="N127" i="18"/>
  <c r="N44" i="17" s="1"/>
  <c r="M127" i="18"/>
  <c r="M44" i="17" s="1"/>
  <c r="L127" i="18"/>
  <c r="L44" i="17" s="1"/>
  <c r="J127" i="18"/>
  <c r="J44" i="17" s="1"/>
  <c r="I127" i="18"/>
  <c r="I44" i="17" s="1"/>
  <c r="H127" i="18"/>
  <c r="H44" i="17" s="1"/>
  <c r="F127" i="18"/>
  <c r="E127" i="18"/>
  <c r="D127" i="18"/>
  <c r="O126" i="18"/>
  <c r="K126" i="18"/>
  <c r="G126" i="18"/>
  <c r="C126" i="18"/>
  <c r="O124" i="18"/>
  <c r="K124" i="18"/>
  <c r="G124" i="18"/>
  <c r="C124" i="18"/>
  <c r="O123" i="18"/>
  <c r="K123" i="18"/>
  <c r="G123" i="18"/>
  <c r="C123" i="18"/>
  <c r="O122" i="18"/>
  <c r="K122" i="18"/>
  <c r="G122" i="18"/>
  <c r="C122" i="18"/>
  <c r="O121" i="18"/>
  <c r="K121" i="18"/>
  <c r="G121" i="18"/>
  <c r="C121" i="18"/>
  <c r="O120" i="18"/>
  <c r="K120" i="18"/>
  <c r="G120" i="18"/>
  <c r="C120" i="18"/>
  <c r="R119" i="18"/>
  <c r="R40" i="17" s="1"/>
  <c r="Q119" i="18"/>
  <c r="Q40" i="17" s="1"/>
  <c r="P119" i="18"/>
  <c r="P40" i="17" s="1"/>
  <c r="N119" i="18"/>
  <c r="N40" i="17" s="1"/>
  <c r="M119" i="18"/>
  <c r="M40" i="17" s="1"/>
  <c r="L119" i="18"/>
  <c r="L40" i="17" s="1"/>
  <c r="J119" i="18"/>
  <c r="J40" i="17" s="1"/>
  <c r="I119" i="18"/>
  <c r="I40" i="17" s="1"/>
  <c r="H119" i="18"/>
  <c r="H40" i="17" s="1"/>
  <c r="F119" i="18"/>
  <c r="E119" i="18"/>
  <c r="D119" i="18"/>
  <c r="O118" i="18"/>
  <c r="K118" i="18"/>
  <c r="G118" i="18"/>
  <c r="C118" i="18"/>
  <c r="O116" i="18"/>
  <c r="K116" i="18"/>
  <c r="G116" i="18"/>
  <c r="C116" i="18"/>
  <c r="O115" i="18"/>
  <c r="K115" i="18"/>
  <c r="G115" i="18"/>
  <c r="C115" i="18"/>
  <c r="O114" i="18"/>
  <c r="K114" i="18"/>
  <c r="G114" i="18"/>
  <c r="C114" i="18"/>
  <c r="O113" i="18"/>
  <c r="K113" i="18"/>
  <c r="G113" i="18"/>
  <c r="C113" i="18"/>
  <c r="O112" i="18"/>
  <c r="K112" i="18"/>
  <c r="G112" i="18"/>
  <c r="C112" i="18"/>
  <c r="R111" i="18"/>
  <c r="R36" i="17" s="1"/>
  <c r="Q111" i="18"/>
  <c r="Q36" i="17" s="1"/>
  <c r="P111" i="18"/>
  <c r="P36" i="17" s="1"/>
  <c r="N111" i="18"/>
  <c r="N36" i="17" s="1"/>
  <c r="M111" i="18"/>
  <c r="M36" i="17" s="1"/>
  <c r="L111" i="18"/>
  <c r="L36" i="17" s="1"/>
  <c r="J111" i="18"/>
  <c r="J36" i="17" s="1"/>
  <c r="I111" i="18"/>
  <c r="I36" i="17" s="1"/>
  <c r="H111" i="18"/>
  <c r="H36" i="17" s="1"/>
  <c r="F111" i="18"/>
  <c r="E111" i="18"/>
  <c r="D111" i="18"/>
  <c r="O110" i="18"/>
  <c r="K110" i="18"/>
  <c r="G110" i="18"/>
  <c r="C110" i="18"/>
  <c r="O107" i="18"/>
  <c r="K107" i="18"/>
  <c r="G107" i="18"/>
  <c r="C107" i="18"/>
  <c r="O106" i="18"/>
  <c r="K106" i="18"/>
  <c r="G106" i="18"/>
  <c r="C106" i="18"/>
  <c r="O105" i="18"/>
  <c r="K105" i="18"/>
  <c r="G105" i="18"/>
  <c r="C105" i="18"/>
  <c r="O104" i="18"/>
  <c r="K104" i="18"/>
  <c r="G104" i="18"/>
  <c r="C104" i="18"/>
  <c r="O103" i="18"/>
  <c r="K103" i="18"/>
  <c r="G103" i="18"/>
  <c r="C103" i="18"/>
  <c r="R102" i="18"/>
  <c r="R32" i="17" s="1"/>
  <c r="Q102" i="18"/>
  <c r="Q32" i="17" s="1"/>
  <c r="P102" i="18"/>
  <c r="P32" i="17" s="1"/>
  <c r="N102" i="18"/>
  <c r="N32" i="17" s="1"/>
  <c r="M102" i="18"/>
  <c r="M32" i="17" s="1"/>
  <c r="L102" i="18"/>
  <c r="L32" i="17" s="1"/>
  <c r="J102" i="18"/>
  <c r="J32" i="17" s="1"/>
  <c r="I102" i="18"/>
  <c r="I32" i="17" s="1"/>
  <c r="H102" i="18"/>
  <c r="H32" i="17" s="1"/>
  <c r="F102" i="18"/>
  <c r="E102" i="18"/>
  <c r="D102" i="18"/>
  <c r="O101" i="18"/>
  <c r="K101" i="18"/>
  <c r="G101" i="18"/>
  <c r="C101" i="18"/>
  <c r="O98" i="18"/>
  <c r="K98" i="18"/>
  <c r="G98" i="18"/>
  <c r="C98" i="18"/>
  <c r="O97" i="18"/>
  <c r="K97" i="18"/>
  <c r="G97" i="18"/>
  <c r="C97" i="18"/>
  <c r="O96" i="18"/>
  <c r="K96" i="18"/>
  <c r="G96" i="18"/>
  <c r="C96" i="18"/>
  <c r="O94" i="18"/>
  <c r="K94" i="18"/>
  <c r="G94" i="18"/>
  <c r="C94" i="18"/>
  <c r="R93" i="18"/>
  <c r="R28" i="17" s="1"/>
  <c r="Q93" i="18"/>
  <c r="Q28" i="17" s="1"/>
  <c r="P93" i="18"/>
  <c r="P28" i="17" s="1"/>
  <c r="N93" i="18"/>
  <c r="N28" i="17" s="1"/>
  <c r="M93" i="18"/>
  <c r="M28" i="17" s="1"/>
  <c r="L93" i="18"/>
  <c r="L28" i="17" s="1"/>
  <c r="J93" i="18"/>
  <c r="J28" i="17" s="1"/>
  <c r="I93" i="18"/>
  <c r="I28" i="17" s="1"/>
  <c r="H93" i="18"/>
  <c r="H28" i="17" s="1"/>
  <c r="F93" i="18"/>
  <c r="E93" i="18"/>
  <c r="D93" i="18"/>
  <c r="O92" i="18"/>
  <c r="K92" i="18"/>
  <c r="G92" i="18"/>
  <c r="C92" i="18"/>
  <c r="O90" i="18"/>
  <c r="K90" i="18"/>
  <c r="G90" i="18"/>
  <c r="C90" i="18"/>
  <c r="O89" i="18"/>
  <c r="K89" i="18"/>
  <c r="G89" i="18"/>
  <c r="C89" i="18"/>
  <c r="O88" i="18"/>
  <c r="K88" i="18"/>
  <c r="G88" i="18"/>
  <c r="C88" i="18"/>
  <c r="O87" i="18"/>
  <c r="K87" i="18"/>
  <c r="G87" i="18"/>
  <c r="C87" i="18"/>
  <c r="O86" i="18"/>
  <c r="K86" i="18"/>
  <c r="G86" i="18"/>
  <c r="C86" i="18"/>
  <c r="R85" i="18"/>
  <c r="Q85" i="18"/>
  <c r="P85" i="18"/>
  <c r="N85" i="18"/>
  <c r="M85" i="18"/>
  <c r="L85" i="18"/>
  <c r="J85" i="18"/>
  <c r="I85" i="18"/>
  <c r="H85" i="18"/>
  <c r="F85" i="18"/>
  <c r="E85" i="18"/>
  <c r="D85" i="18"/>
  <c r="O82" i="18"/>
  <c r="K82" i="18"/>
  <c r="G82" i="18"/>
  <c r="C82" i="18"/>
  <c r="O79" i="18"/>
  <c r="K79" i="18"/>
  <c r="G79" i="18"/>
  <c r="C79" i="18"/>
  <c r="O77" i="18"/>
  <c r="K77" i="18"/>
  <c r="G77" i="18"/>
  <c r="C77" i="18"/>
  <c r="O76" i="18"/>
  <c r="K76" i="18"/>
  <c r="O69" i="18"/>
  <c r="K69" i="18"/>
  <c r="G69" i="18"/>
  <c r="O68" i="18"/>
  <c r="K68" i="18"/>
  <c r="G68" i="18"/>
  <c r="C68" i="18"/>
  <c r="O67" i="18"/>
  <c r="K67" i="18"/>
  <c r="G67" i="18"/>
  <c r="O62" i="18"/>
  <c r="K62" i="18"/>
  <c r="G62" i="18"/>
  <c r="C62" i="18"/>
  <c r="O59" i="18"/>
  <c r="K59" i="18"/>
  <c r="G59" i="18"/>
  <c r="C59" i="18"/>
  <c r="O58" i="18"/>
  <c r="K58" i="18"/>
  <c r="G58" i="18"/>
  <c r="O53" i="18"/>
  <c r="K53" i="18"/>
  <c r="G53" i="18"/>
  <c r="O52" i="18"/>
  <c r="K52" i="18"/>
  <c r="G52" i="18"/>
  <c r="C52" i="18"/>
  <c r="O44" i="18"/>
  <c r="K44" i="18"/>
  <c r="G44" i="18"/>
  <c r="C44" i="18"/>
  <c r="O43" i="18"/>
  <c r="K43" i="18"/>
  <c r="G43" i="18"/>
  <c r="C43" i="18"/>
  <c r="O41" i="18"/>
  <c r="K41" i="18"/>
  <c r="G41" i="18"/>
  <c r="C41" i="18"/>
  <c r="O39" i="18"/>
  <c r="K39" i="18"/>
  <c r="G39" i="18"/>
  <c r="C39" i="18"/>
  <c r="O37" i="18"/>
  <c r="K37" i="18"/>
  <c r="G37" i="18"/>
  <c r="C37" i="18"/>
  <c r="O31" i="18"/>
  <c r="K31" i="18"/>
  <c r="G31" i="18"/>
  <c r="C31" i="18"/>
  <c r="O29" i="18"/>
  <c r="K29" i="18"/>
  <c r="G29" i="18"/>
  <c r="C29" i="18"/>
  <c r="O28" i="18"/>
  <c r="K28" i="18"/>
  <c r="G28" i="18"/>
  <c r="C28" i="18"/>
  <c r="O27" i="18"/>
  <c r="K27" i="18"/>
  <c r="G27" i="18"/>
  <c r="C27" i="18"/>
  <c r="O26" i="18"/>
  <c r="K26" i="18"/>
  <c r="G26" i="18"/>
  <c r="C26" i="18"/>
  <c r="O25" i="18"/>
  <c r="K25" i="18"/>
  <c r="G25" i="18"/>
  <c r="C25" i="18"/>
  <c r="O19" i="18"/>
  <c r="K19" i="18"/>
  <c r="G19" i="18"/>
  <c r="C19" i="18"/>
  <c r="O16" i="18"/>
  <c r="K16" i="18"/>
  <c r="G16" i="18"/>
  <c r="C16" i="18"/>
  <c r="R15" i="18"/>
  <c r="Q15" i="18"/>
  <c r="P15" i="18"/>
  <c r="P16" i="17" s="1"/>
  <c r="N15" i="18"/>
  <c r="M15" i="18"/>
  <c r="L15" i="18"/>
  <c r="L16" i="17" s="1"/>
  <c r="J15" i="18"/>
  <c r="I15" i="18"/>
  <c r="H15" i="18"/>
  <c r="H16" i="17" s="1"/>
  <c r="F15" i="18"/>
  <c r="E15" i="18"/>
  <c r="D15" i="18"/>
  <c r="U34" i="17" l="1"/>
  <c r="T38" i="17"/>
  <c r="U50" i="17"/>
  <c r="T54" i="17"/>
  <c r="U66" i="17"/>
  <c r="U109" i="17"/>
  <c r="U123" i="17"/>
  <c r="T22" i="17"/>
  <c r="V82" i="17"/>
  <c r="V112" i="17"/>
  <c r="T153" i="17"/>
  <c r="T134" i="17"/>
  <c r="U130" i="17"/>
  <c r="U69" i="17"/>
  <c r="F60" i="17"/>
  <c r="V60" i="17" s="1"/>
  <c r="V159" i="18"/>
  <c r="D60" i="17"/>
  <c r="T159" i="18"/>
  <c r="E60" i="17"/>
  <c r="U60" i="17" s="1"/>
  <c r="U159" i="18"/>
  <c r="V100" i="17"/>
  <c r="V121" i="17"/>
  <c r="V22" i="17"/>
  <c r="V13" i="17"/>
  <c r="F56" i="17"/>
  <c r="V56" i="17" s="1"/>
  <c r="V151" i="18"/>
  <c r="D56" i="17"/>
  <c r="T56" i="17" s="1"/>
  <c r="T151" i="18"/>
  <c r="E56" i="17"/>
  <c r="E55" i="17" s="1"/>
  <c r="U151" i="18"/>
  <c r="F89" i="17"/>
  <c r="V89" i="17" s="1"/>
  <c r="V90" i="17"/>
  <c r="U13" i="17"/>
  <c r="V69" i="17"/>
  <c r="V85" i="17"/>
  <c r="E91" i="17"/>
  <c r="V103" i="17"/>
  <c r="V109" i="17"/>
  <c r="F122" i="17"/>
  <c r="V122" i="17" s="1"/>
  <c r="V123" i="17"/>
  <c r="T26" i="17"/>
  <c r="T30" i="17"/>
  <c r="V34" i="17"/>
  <c r="U38" i="17"/>
  <c r="T42" i="17"/>
  <c r="T46" i="17"/>
  <c r="V50" i="17"/>
  <c r="U54" i="17"/>
  <c r="T58" i="17"/>
  <c r="V66" i="17"/>
  <c r="D91" i="17"/>
  <c r="T91" i="17" s="1"/>
  <c r="T94" i="17"/>
  <c r="T60" i="17"/>
  <c r="D89" i="17"/>
  <c r="F91" i="17"/>
  <c r="V91" i="17" s="1"/>
  <c r="V94" i="17"/>
  <c r="U106" i="17"/>
  <c r="U26" i="17"/>
  <c r="U30" i="17"/>
  <c r="V38" i="17"/>
  <c r="U42" i="17"/>
  <c r="U46" i="17"/>
  <c r="V54" i="17"/>
  <c r="U58" i="17"/>
  <c r="V130" i="17"/>
  <c r="U134" i="17"/>
  <c r="U138" i="17"/>
  <c r="U148" i="17"/>
  <c r="U56" i="17"/>
  <c r="V88" i="17"/>
  <c r="V106" i="17"/>
  <c r="T123" i="17"/>
  <c r="V26" i="17"/>
  <c r="V30" i="17"/>
  <c r="T34" i="17"/>
  <c r="V42" i="17"/>
  <c r="V46" i="17"/>
  <c r="T50" i="17"/>
  <c r="V58" i="17"/>
  <c r="T66" i="17"/>
  <c r="T13" i="17"/>
  <c r="V138" i="17"/>
  <c r="V146" i="17"/>
  <c r="V148" i="17"/>
  <c r="F52" i="17"/>
  <c r="V145" i="18"/>
  <c r="E52" i="17"/>
  <c r="U145" i="18"/>
  <c r="D52" i="17"/>
  <c r="T52" i="17" s="1"/>
  <c r="T145" i="18"/>
  <c r="T136" i="18"/>
  <c r="U136" i="18"/>
  <c r="V136" i="18"/>
  <c r="F44" i="17"/>
  <c r="V44" i="17" s="1"/>
  <c r="V127" i="18"/>
  <c r="D44" i="17"/>
  <c r="T44" i="17" s="1"/>
  <c r="T127" i="18"/>
  <c r="E44" i="17"/>
  <c r="U44" i="17" s="1"/>
  <c r="U127" i="18"/>
  <c r="F40" i="17"/>
  <c r="V119" i="18"/>
  <c r="E40" i="17"/>
  <c r="U40" i="17" s="1"/>
  <c r="U119" i="18"/>
  <c r="D40" i="17"/>
  <c r="T119" i="18"/>
  <c r="D36" i="17"/>
  <c r="T111" i="18"/>
  <c r="E36" i="17"/>
  <c r="U111" i="18"/>
  <c r="F36" i="17"/>
  <c r="V111" i="18"/>
  <c r="T85" i="18"/>
  <c r="D28" i="17"/>
  <c r="T28" i="17" s="1"/>
  <c r="T93" i="18"/>
  <c r="D32" i="17"/>
  <c r="T32" i="17" s="1"/>
  <c r="T102" i="18"/>
  <c r="E32" i="17"/>
  <c r="U32" i="17" s="1"/>
  <c r="U102" i="18"/>
  <c r="D461" i="18"/>
  <c r="U85" i="18"/>
  <c r="E28" i="17"/>
  <c r="U28" i="17" s="1"/>
  <c r="U93" i="18"/>
  <c r="V85" i="18"/>
  <c r="F28" i="17"/>
  <c r="V93" i="18"/>
  <c r="F32" i="17"/>
  <c r="V32" i="17" s="1"/>
  <c r="V102" i="18"/>
  <c r="I21" i="17"/>
  <c r="L21" i="17"/>
  <c r="L461" i="18"/>
  <c r="N21" i="17"/>
  <c r="N461" i="18"/>
  <c r="E461" i="18"/>
  <c r="J21" i="17"/>
  <c r="J461" i="18"/>
  <c r="P21" i="17"/>
  <c r="P461" i="18"/>
  <c r="F461" i="18"/>
  <c r="Q21" i="17"/>
  <c r="Q461" i="18"/>
  <c r="H21" i="17"/>
  <c r="M21" i="17"/>
  <c r="M461" i="18"/>
  <c r="R21" i="17"/>
  <c r="R461" i="18"/>
  <c r="D64" i="17"/>
  <c r="T64" i="17" s="1"/>
  <c r="T167" i="18"/>
  <c r="D114" i="17"/>
  <c r="T293" i="18"/>
  <c r="F115" i="17"/>
  <c r="V115" i="17" s="1"/>
  <c r="V442" i="18"/>
  <c r="F118" i="17"/>
  <c r="V447" i="18"/>
  <c r="E64" i="17"/>
  <c r="U167" i="18"/>
  <c r="U293" i="18"/>
  <c r="F64" i="17"/>
  <c r="V64" i="17" s="1"/>
  <c r="V167" i="18"/>
  <c r="V293" i="18"/>
  <c r="I118" i="17"/>
  <c r="I116" i="17" s="1"/>
  <c r="U447" i="18"/>
  <c r="E115" i="17"/>
  <c r="Q152" i="17"/>
  <c r="U268" i="18"/>
  <c r="R152" i="17"/>
  <c r="V268" i="18"/>
  <c r="P152" i="17"/>
  <c r="T268" i="18"/>
  <c r="E79" i="17"/>
  <c r="F79" i="17"/>
  <c r="V79" i="17" s="1"/>
  <c r="V361" i="18"/>
  <c r="E76" i="17"/>
  <c r="U353" i="18"/>
  <c r="F76" i="17"/>
  <c r="V353" i="18"/>
  <c r="D73" i="17"/>
  <c r="T345" i="18"/>
  <c r="E73" i="17"/>
  <c r="U345" i="18"/>
  <c r="F73" i="17"/>
  <c r="V345" i="18"/>
  <c r="D21" i="17"/>
  <c r="T320" i="18"/>
  <c r="E21" i="17"/>
  <c r="U320" i="18"/>
  <c r="F21" i="17"/>
  <c r="V320" i="18"/>
  <c r="H76" i="17"/>
  <c r="T76" i="17" s="1"/>
  <c r="T353" i="18"/>
  <c r="L20" i="17"/>
  <c r="T20" i="17" s="1"/>
  <c r="T300" i="18"/>
  <c r="T318" i="18" s="1"/>
  <c r="M20" i="17"/>
  <c r="U20" i="17" s="1"/>
  <c r="U300" i="18"/>
  <c r="U318" i="18" s="1"/>
  <c r="U185" i="18"/>
  <c r="U234" i="18" s="1"/>
  <c r="N20" i="17"/>
  <c r="V20" i="17" s="1"/>
  <c r="V300" i="18"/>
  <c r="V318" i="18" s="1"/>
  <c r="V185" i="18"/>
  <c r="V234" i="18" s="1"/>
  <c r="D18" i="17"/>
  <c r="T185" i="18"/>
  <c r="T234" i="18" s="1"/>
  <c r="D16" i="17"/>
  <c r="T16" i="17" s="1"/>
  <c r="T15" i="18"/>
  <c r="T32" i="18" s="1"/>
  <c r="E16" i="17"/>
  <c r="U15" i="18"/>
  <c r="U32" i="18" s="1"/>
  <c r="F16" i="17"/>
  <c r="V15" i="18"/>
  <c r="V32" i="18" s="1"/>
  <c r="J32" i="18"/>
  <c r="J16" i="17"/>
  <c r="N234" i="18"/>
  <c r="N18" i="17"/>
  <c r="E234" i="18"/>
  <c r="E18" i="17"/>
  <c r="D298" i="18"/>
  <c r="D19" i="17"/>
  <c r="T19" i="17" s="1"/>
  <c r="M32" i="18"/>
  <c r="M16" i="17"/>
  <c r="R32" i="18"/>
  <c r="R16" i="17"/>
  <c r="F234" i="18"/>
  <c r="F18" i="17"/>
  <c r="L234" i="18"/>
  <c r="L18" i="17"/>
  <c r="Q234" i="18"/>
  <c r="Q18" i="17"/>
  <c r="I234" i="18"/>
  <c r="I18" i="17"/>
  <c r="Q32" i="18"/>
  <c r="Q16" i="17"/>
  <c r="J234" i="18"/>
  <c r="J18" i="17"/>
  <c r="P234" i="18"/>
  <c r="P18" i="17"/>
  <c r="I32" i="18"/>
  <c r="I16" i="17"/>
  <c r="N32" i="18"/>
  <c r="N16" i="17"/>
  <c r="H234" i="18"/>
  <c r="H18" i="17"/>
  <c r="M234" i="18"/>
  <c r="M18" i="17"/>
  <c r="R234" i="18"/>
  <c r="R18" i="17"/>
  <c r="U236" i="18"/>
  <c r="I183" i="18"/>
  <c r="D183" i="18"/>
  <c r="Q145" i="17"/>
  <c r="Q298" i="18"/>
  <c r="D234" i="18"/>
  <c r="V236" i="18"/>
  <c r="R145" i="17"/>
  <c r="R298" i="18"/>
  <c r="H114" i="17"/>
  <c r="H298" i="18"/>
  <c r="M114" i="17"/>
  <c r="M113" i="17" s="1"/>
  <c r="M298" i="18"/>
  <c r="L114" i="17"/>
  <c r="L113" i="17" s="1"/>
  <c r="L298" i="18"/>
  <c r="I114" i="17"/>
  <c r="I298" i="18"/>
  <c r="N114" i="17"/>
  <c r="N113" i="17" s="1"/>
  <c r="N298" i="18"/>
  <c r="F114" i="17"/>
  <c r="F298" i="18"/>
  <c r="P145" i="17"/>
  <c r="P298" i="18"/>
  <c r="E114" i="17"/>
  <c r="U114" i="17" s="1"/>
  <c r="E298" i="18"/>
  <c r="J114" i="17"/>
  <c r="J113" i="17" s="1"/>
  <c r="J298" i="18"/>
  <c r="E183" i="18"/>
  <c r="J183" i="18"/>
  <c r="P183" i="18"/>
  <c r="F183" i="18"/>
  <c r="L24" i="17"/>
  <c r="L23" i="17" s="1"/>
  <c r="L183" i="18"/>
  <c r="Q183" i="18"/>
  <c r="N24" i="17"/>
  <c r="N23" i="17" s="1"/>
  <c r="N183" i="18"/>
  <c r="H183" i="18"/>
  <c r="M24" i="17"/>
  <c r="M23" i="17" s="1"/>
  <c r="M183" i="18"/>
  <c r="R183" i="18"/>
  <c r="U36" i="18"/>
  <c r="E24" i="17"/>
  <c r="J24" i="17"/>
  <c r="J23" i="17" s="1"/>
  <c r="O19" i="17"/>
  <c r="I24" i="17"/>
  <c r="I23" i="17" s="1"/>
  <c r="H24" i="17"/>
  <c r="H23" i="17" s="1"/>
  <c r="V36" i="18"/>
  <c r="F97" i="17"/>
  <c r="N97" i="17"/>
  <c r="N95" i="17" s="1"/>
  <c r="J97" i="17"/>
  <c r="J95" i="17" s="1"/>
  <c r="P97" i="17"/>
  <c r="P95" i="17" s="1"/>
  <c r="D97" i="17"/>
  <c r="L97" i="17"/>
  <c r="Q97" i="17"/>
  <c r="E97" i="17"/>
  <c r="M97" i="17"/>
  <c r="M95" i="17" s="1"/>
  <c r="R97" i="17"/>
  <c r="R95" i="17" s="1"/>
  <c r="V529" i="18"/>
  <c r="D32" i="18"/>
  <c r="H32" i="18"/>
  <c r="P32" i="18"/>
  <c r="E32" i="18"/>
  <c r="F32" i="18"/>
  <c r="L32" i="18"/>
  <c r="R48" i="17"/>
  <c r="R47" i="17" s="1"/>
  <c r="D48" i="17"/>
  <c r="I48" i="17"/>
  <c r="I47" i="17" s="1"/>
  <c r="N48" i="17"/>
  <c r="N47" i="17" s="1"/>
  <c r="H48" i="17"/>
  <c r="H47" i="17" s="1"/>
  <c r="E48" i="17"/>
  <c r="J48" i="17"/>
  <c r="J47" i="17" s="1"/>
  <c r="P48" i="17"/>
  <c r="P47" i="17" s="1"/>
  <c r="M48" i="17"/>
  <c r="M47" i="17" s="1"/>
  <c r="F48" i="17"/>
  <c r="L48" i="17"/>
  <c r="Q48" i="17"/>
  <c r="P24" i="17"/>
  <c r="P23" i="17" s="1"/>
  <c r="Q24" i="17"/>
  <c r="R24" i="17"/>
  <c r="R23" i="17" s="1"/>
  <c r="G17" i="17"/>
  <c r="F24" i="17"/>
  <c r="D24" i="17"/>
  <c r="M318" i="18"/>
  <c r="N318" i="18"/>
  <c r="D62" i="17"/>
  <c r="N62" i="17"/>
  <c r="E62" i="17"/>
  <c r="J62" i="17"/>
  <c r="J59" i="17" s="1"/>
  <c r="P62" i="17"/>
  <c r="H62" i="17"/>
  <c r="H59" i="17" s="1"/>
  <c r="M55" i="17"/>
  <c r="M62" i="17"/>
  <c r="M59" i="17" s="1"/>
  <c r="R62" i="17"/>
  <c r="I55" i="17"/>
  <c r="I62" i="17"/>
  <c r="I59" i="17" s="1"/>
  <c r="L318" i="18"/>
  <c r="C58" i="17"/>
  <c r="F62" i="17"/>
  <c r="L55" i="17"/>
  <c r="L62" i="17"/>
  <c r="L59" i="17" s="1"/>
  <c r="Q62" i="17"/>
  <c r="C541" i="18"/>
  <c r="F158" i="17"/>
  <c r="V391" i="18"/>
  <c r="T509" i="18"/>
  <c r="U497" i="18"/>
  <c r="U455" i="18"/>
  <c r="V375" i="18"/>
  <c r="E539" i="18"/>
  <c r="D539" i="18"/>
  <c r="F539" i="18"/>
  <c r="U521" i="18"/>
  <c r="O525" i="18"/>
  <c r="U395" i="18"/>
  <c r="U416" i="18"/>
  <c r="I67" i="17"/>
  <c r="N67" i="17"/>
  <c r="G28" i="17"/>
  <c r="O30" i="17"/>
  <c r="G49" i="17"/>
  <c r="N86" i="17"/>
  <c r="O131" i="17"/>
  <c r="R27" i="17"/>
  <c r="O50" i="17"/>
  <c r="P130" i="17"/>
  <c r="O130" i="17" s="1"/>
  <c r="M27" i="17"/>
  <c r="D101" i="17"/>
  <c r="L116" i="17"/>
  <c r="E136" i="17"/>
  <c r="K150" i="17"/>
  <c r="J67" i="17"/>
  <c r="J74" i="17"/>
  <c r="L27" i="17"/>
  <c r="L80" i="17"/>
  <c r="E83" i="17"/>
  <c r="M104" i="17"/>
  <c r="Q136" i="17"/>
  <c r="G137" i="17"/>
  <c r="K141" i="17"/>
  <c r="M83" i="17"/>
  <c r="L104" i="17"/>
  <c r="Q104" i="17"/>
  <c r="P136" i="17"/>
  <c r="M140" i="17"/>
  <c r="K149" i="17"/>
  <c r="P55" i="17"/>
  <c r="M63" i="17"/>
  <c r="R63" i="17"/>
  <c r="O66" i="17"/>
  <c r="E80" i="17"/>
  <c r="M101" i="17"/>
  <c r="R101" i="17"/>
  <c r="F104" i="17"/>
  <c r="D127" i="17"/>
  <c r="I127" i="17"/>
  <c r="N127" i="17"/>
  <c r="M132" i="17"/>
  <c r="R132" i="17"/>
  <c r="O37" i="17"/>
  <c r="K38" i="17"/>
  <c r="G40" i="17"/>
  <c r="O42" i="17"/>
  <c r="G131" i="17"/>
  <c r="N27" i="17"/>
  <c r="M80" i="17"/>
  <c r="R119" i="17"/>
  <c r="Q127" i="17"/>
  <c r="H130" i="17"/>
  <c r="G130" i="17" s="1"/>
  <c r="E132" i="17"/>
  <c r="J132" i="17"/>
  <c r="P132" i="17"/>
  <c r="R83" i="17"/>
  <c r="G78" i="17"/>
  <c r="M77" i="17"/>
  <c r="R77" i="17"/>
  <c r="N83" i="17"/>
  <c r="P101" i="17"/>
  <c r="C103" i="17"/>
  <c r="L101" i="17"/>
  <c r="E107" i="17"/>
  <c r="J107" i="17"/>
  <c r="P113" i="17"/>
  <c r="M119" i="17"/>
  <c r="O38" i="17"/>
  <c r="N74" i="17"/>
  <c r="K85" i="17"/>
  <c r="K94" i="17"/>
  <c r="O121" i="17"/>
  <c r="O141" i="17"/>
  <c r="O148" i="17"/>
  <c r="G20" i="17"/>
  <c r="O22" i="17"/>
  <c r="O29" i="17"/>
  <c r="K30" i="17"/>
  <c r="P39" i="17"/>
  <c r="O49" i="17"/>
  <c r="K50" i="17"/>
  <c r="K56" i="17"/>
  <c r="G57" i="17"/>
  <c r="O65" i="17"/>
  <c r="K66" i="17"/>
  <c r="K73" i="17"/>
  <c r="J86" i="17"/>
  <c r="G94" i="17"/>
  <c r="D98" i="17"/>
  <c r="N98" i="17"/>
  <c r="O103" i="17"/>
  <c r="Q110" i="17"/>
  <c r="J116" i="17"/>
  <c r="P116" i="17"/>
  <c r="D119" i="17"/>
  <c r="N119" i="17"/>
  <c r="J136" i="17"/>
  <c r="E140" i="17"/>
  <c r="P140" i="17"/>
  <c r="G14" i="17"/>
  <c r="K22" i="17"/>
  <c r="O33" i="17"/>
  <c r="K49" i="17"/>
  <c r="G50" i="17"/>
  <c r="O85" i="17"/>
  <c r="C94" i="17"/>
  <c r="O99" i="17"/>
  <c r="K100" i="17"/>
  <c r="K126" i="17"/>
  <c r="J127" i="17"/>
  <c r="F132" i="17"/>
  <c r="L132" i="17"/>
  <c r="Q132" i="17"/>
  <c r="O143" i="17"/>
  <c r="K154" i="17"/>
  <c r="G158" i="17"/>
  <c r="R31" i="17"/>
  <c r="L35" i="17"/>
  <c r="R39" i="17"/>
  <c r="O129" i="17"/>
  <c r="K133" i="17"/>
  <c r="G148" i="17"/>
  <c r="P27" i="17"/>
  <c r="K34" i="17"/>
  <c r="G37" i="17"/>
  <c r="R35" i="17"/>
  <c r="C38" i="17"/>
  <c r="O40" i="17"/>
  <c r="G42" i="17"/>
  <c r="P43" i="17"/>
  <c r="C49" i="17"/>
  <c r="C50" i="17"/>
  <c r="N51" i="17"/>
  <c r="K88" i="17"/>
  <c r="I140" i="17"/>
  <c r="P142" i="17"/>
  <c r="O142" i="17" s="1"/>
  <c r="O153" i="17"/>
  <c r="N35" i="17"/>
  <c r="H43" i="17"/>
  <c r="M43" i="17"/>
  <c r="R43" i="17"/>
  <c r="J51" i="17"/>
  <c r="J63" i="17"/>
  <c r="G73" i="17"/>
  <c r="I74" i="17"/>
  <c r="J83" i="17"/>
  <c r="E98" i="17"/>
  <c r="J98" i="17"/>
  <c r="D104" i="17"/>
  <c r="I104" i="17"/>
  <c r="N104" i="17"/>
  <c r="P104" i="17"/>
  <c r="F107" i="17"/>
  <c r="D110" i="17"/>
  <c r="N110" i="17"/>
  <c r="M116" i="17"/>
  <c r="R116" i="17"/>
  <c r="D116" i="17"/>
  <c r="J119" i="17"/>
  <c r="D136" i="17"/>
  <c r="I136" i="17"/>
  <c r="N136" i="17"/>
  <c r="K14" i="17"/>
  <c r="G25" i="17"/>
  <c r="J27" i="17"/>
  <c r="G32" i="17"/>
  <c r="M31" i="17"/>
  <c r="C33" i="17"/>
  <c r="I31" i="17"/>
  <c r="O34" i="17"/>
  <c r="K37" i="17"/>
  <c r="G44" i="17"/>
  <c r="I107" i="17"/>
  <c r="O111" i="17"/>
  <c r="K112" i="17"/>
  <c r="O114" i="17"/>
  <c r="K115" i="17"/>
  <c r="E122" i="17"/>
  <c r="U122" i="17" s="1"/>
  <c r="G123" i="17"/>
  <c r="G149" i="17"/>
  <c r="G154" i="17"/>
  <c r="I442" i="18"/>
  <c r="U442" i="18" s="1"/>
  <c r="G396" i="18"/>
  <c r="T464" i="18"/>
  <c r="G144" i="17"/>
  <c r="G122" i="17"/>
  <c r="H384" i="18"/>
  <c r="G385" i="18"/>
  <c r="I27" i="17"/>
  <c r="N31" i="17"/>
  <c r="J31" i="17"/>
  <c r="J35" i="17"/>
  <c r="J39" i="17"/>
  <c r="K41" i="17"/>
  <c r="J43" i="17"/>
  <c r="R55" i="17"/>
  <c r="I63" i="17"/>
  <c r="N63" i="17"/>
  <c r="P98" i="17"/>
  <c r="L148" i="17"/>
  <c r="K148" i="17" s="1"/>
  <c r="O14" i="17"/>
  <c r="O20" i="17"/>
  <c r="G22" i="17"/>
  <c r="K25" i="17"/>
  <c r="G26" i="17"/>
  <c r="O28" i="17"/>
  <c r="K29" i="17"/>
  <c r="G30" i="17"/>
  <c r="K36" i="17"/>
  <c r="K40" i="17"/>
  <c r="L43" i="17"/>
  <c r="I43" i="17"/>
  <c r="K46" i="17"/>
  <c r="M51" i="17"/>
  <c r="R51" i="17"/>
  <c r="C53" i="17"/>
  <c r="O54" i="17"/>
  <c r="G56" i="17"/>
  <c r="O58" i="17"/>
  <c r="K65" i="17"/>
  <c r="G66" i="17"/>
  <c r="K28" i="17"/>
  <c r="G29" i="17"/>
  <c r="H35" i="17"/>
  <c r="C37" i="17"/>
  <c r="K45" i="17"/>
  <c r="G46" i="17"/>
  <c r="O53" i="17"/>
  <c r="K54" i="17"/>
  <c r="G60" i="17"/>
  <c r="G65" i="17"/>
  <c r="O79" i="17"/>
  <c r="P77" i="17"/>
  <c r="E144" i="17"/>
  <c r="U144" i="17" s="1"/>
  <c r="R67" i="17"/>
  <c r="M74" i="17"/>
  <c r="R74" i="17"/>
  <c r="J77" i="17"/>
  <c r="O81" i="17"/>
  <c r="K82" i="17"/>
  <c r="R86" i="17"/>
  <c r="F98" i="17"/>
  <c r="R98" i="17"/>
  <c r="J104" i="17"/>
  <c r="N107" i="17"/>
  <c r="J110" i="17"/>
  <c r="N116" i="17"/>
  <c r="O135" i="17"/>
  <c r="E142" i="17"/>
  <c r="U142" i="17" s="1"/>
  <c r="E153" i="17"/>
  <c r="U153" i="17" s="1"/>
  <c r="C69" i="17"/>
  <c r="O73" i="17"/>
  <c r="P80" i="17"/>
  <c r="C88" i="17"/>
  <c r="G99" i="17"/>
  <c r="K105" i="17"/>
  <c r="K109" i="17"/>
  <c r="M110" i="17"/>
  <c r="R110" i="17"/>
  <c r="R113" i="17"/>
  <c r="M127" i="17"/>
  <c r="R127" i="17"/>
  <c r="I132" i="17"/>
  <c r="N132" i="17"/>
  <c r="K142" i="17"/>
  <c r="G145" i="17"/>
  <c r="K153" i="17"/>
  <c r="M107" i="17"/>
  <c r="R107" i="17"/>
  <c r="G142" i="17"/>
  <c r="K144" i="17"/>
  <c r="G153" i="17"/>
  <c r="O82" i="17"/>
  <c r="R80" i="17"/>
  <c r="H13" i="17"/>
  <c r="G13" i="17" s="1"/>
  <c r="C14" i="17"/>
  <c r="C20" i="17"/>
  <c r="C22" i="17"/>
  <c r="O26" i="17"/>
  <c r="O32" i="17"/>
  <c r="K33" i="17"/>
  <c r="G34" i="17"/>
  <c r="L39" i="17"/>
  <c r="K64" i="17"/>
  <c r="L63" i="17"/>
  <c r="C66" i="17"/>
  <c r="F67" i="17"/>
  <c r="K99" i="17"/>
  <c r="L98" i="17"/>
  <c r="O36" i="17"/>
  <c r="P35" i="17"/>
  <c r="O64" i="17"/>
  <c r="P63" i="17"/>
  <c r="P83" i="17"/>
  <c r="O84" i="17"/>
  <c r="O25" i="17"/>
  <c r="K26" i="17"/>
  <c r="H27" i="17"/>
  <c r="C29" i="17"/>
  <c r="C30" i="17"/>
  <c r="K32" i="17"/>
  <c r="G33" i="17"/>
  <c r="C34" i="17"/>
  <c r="G41" i="17"/>
  <c r="H39" i="17"/>
  <c r="G64" i="17"/>
  <c r="H63" i="17"/>
  <c r="C65" i="17"/>
  <c r="K13" i="17"/>
  <c r="E101" i="17"/>
  <c r="F153" i="17"/>
  <c r="O13" i="17"/>
  <c r="O17" i="17"/>
  <c r="G61" i="17"/>
  <c r="M39" i="17"/>
  <c r="I51" i="17"/>
  <c r="M67" i="17"/>
  <c r="L83" i="17"/>
  <c r="K84" i="17"/>
  <c r="F86" i="17"/>
  <c r="F110" i="17"/>
  <c r="K111" i="17"/>
  <c r="L110" i="17"/>
  <c r="E116" i="17"/>
  <c r="C123" i="17"/>
  <c r="D122" i="17"/>
  <c r="T122" i="17" s="1"/>
  <c r="E146" i="17"/>
  <c r="U146" i="17" s="1"/>
  <c r="G36" i="17"/>
  <c r="M35" i="17"/>
  <c r="G38" i="17"/>
  <c r="I39" i="17"/>
  <c r="N39" i="17"/>
  <c r="O41" i="17"/>
  <c r="K42" i="17"/>
  <c r="N43" i="17"/>
  <c r="G45" i="17"/>
  <c r="C46" i="17"/>
  <c r="K53" i="17"/>
  <c r="G54" i="17"/>
  <c r="O57" i="17"/>
  <c r="O69" i="17"/>
  <c r="G84" i="17"/>
  <c r="C85" i="17"/>
  <c r="K139" i="17"/>
  <c r="L138" i="17"/>
  <c r="K138" i="17" s="1"/>
  <c r="I35" i="17"/>
  <c r="C45" i="17"/>
  <c r="O46" i="17"/>
  <c r="G53" i="17"/>
  <c r="C54" i="17"/>
  <c r="H55" i="17"/>
  <c r="J55" i="17"/>
  <c r="O56" i="17"/>
  <c r="K57" i="17"/>
  <c r="G58" i="17"/>
  <c r="E67" i="17"/>
  <c r="K69" i="17"/>
  <c r="K76" i="17"/>
  <c r="D77" i="17"/>
  <c r="D83" i="17"/>
  <c r="C84" i="17"/>
  <c r="R104" i="17"/>
  <c r="E119" i="17"/>
  <c r="O120" i="17"/>
  <c r="P119" i="17"/>
  <c r="F119" i="17"/>
  <c r="K121" i="17"/>
  <c r="L119" i="17"/>
  <c r="N77" i="17"/>
  <c r="F83" i="17"/>
  <c r="M86" i="17"/>
  <c r="O90" i="17"/>
  <c r="K93" i="17"/>
  <c r="C96" i="17"/>
  <c r="G96" i="17"/>
  <c r="K96" i="17"/>
  <c r="O96" i="17"/>
  <c r="M98" i="17"/>
  <c r="C109" i="17"/>
  <c r="E110" i="17"/>
  <c r="G111" i="17"/>
  <c r="C112" i="17"/>
  <c r="K120" i="17"/>
  <c r="O123" i="17"/>
  <c r="G139" i="17"/>
  <c r="H138" i="17"/>
  <c r="G138" i="17" s="1"/>
  <c r="F140" i="17"/>
  <c r="F142" i="17"/>
  <c r="V142" i="17" s="1"/>
  <c r="K143" i="17"/>
  <c r="O78" i="17"/>
  <c r="K79" i="17"/>
  <c r="O88" i="17"/>
  <c r="K89" i="17"/>
  <c r="K90" i="17"/>
  <c r="O94" i="17"/>
  <c r="O100" i="17"/>
  <c r="O102" i="17"/>
  <c r="K103" i="17"/>
  <c r="O105" i="17"/>
  <c r="O109" i="17"/>
  <c r="C111" i="17"/>
  <c r="O112" i="17"/>
  <c r="O115" i="17"/>
  <c r="G117" i="17"/>
  <c r="G120" i="17"/>
  <c r="C121" i="17"/>
  <c r="O122" i="17"/>
  <c r="K123" i="17"/>
  <c r="F127" i="17"/>
  <c r="H127" i="17"/>
  <c r="D130" i="17"/>
  <c r="C139" i="17"/>
  <c r="G143" i="17"/>
  <c r="F144" i="17"/>
  <c r="K145" i="17"/>
  <c r="O76" i="17"/>
  <c r="L77" i="17"/>
  <c r="K78" i="17"/>
  <c r="D80" i="17"/>
  <c r="C82" i="17"/>
  <c r="E86" i="17"/>
  <c r="O89" i="17"/>
  <c r="C120" i="17"/>
  <c r="K122" i="17"/>
  <c r="G133" i="17"/>
  <c r="H132" i="17"/>
  <c r="D132" i="17"/>
  <c r="O139" i="17"/>
  <c r="P138" i="17"/>
  <c r="O138" i="17" s="1"/>
  <c r="O154" i="17"/>
  <c r="G126" i="17"/>
  <c r="G129" i="17"/>
  <c r="M136" i="17"/>
  <c r="R136" i="17"/>
  <c r="R140" i="17"/>
  <c r="D142" i="17"/>
  <c r="C143" i="17"/>
  <c r="C145" i="17"/>
  <c r="C154" i="17"/>
  <c r="C126" i="17"/>
  <c r="C129" i="17"/>
  <c r="K131" i="17"/>
  <c r="O133" i="17"/>
  <c r="N140" i="17"/>
  <c r="O149" i="17"/>
  <c r="G150" i="17"/>
  <c r="G152" i="17"/>
  <c r="J140" i="17"/>
  <c r="K158" i="17"/>
  <c r="C68" i="17"/>
  <c r="D67" i="17"/>
  <c r="C81" i="17"/>
  <c r="F80" i="17"/>
  <c r="G147" i="17"/>
  <c r="H146" i="17"/>
  <c r="G146" i="17" s="1"/>
  <c r="C13" i="17"/>
  <c r="C25" i="17"/>
  <c r="C26" i="17"/>
  <c r="H31" i="17"/>
  <c r="L31" i="17"/>
  <c r="P31" i="17"/>
  <c r="O44" i="17"/>
  <c r="O45" i="17"/>
  <c r="K52" i="17"/>
  <c r="L51" i="17"/>
  <c r="O60" i="17"/>
  <c r="O61" i="17"/>
  <c r="O68" i="17"/>
  <c r="P67" i="17"/>
  <c r="O72" i="17"/>
  <c r="C75" i="17"/>
  <c r="D74" i="17"/>
  <c r="O87" i="17"/>
  <c r="P86" i="17"/>
  <c r="G93" i="17"/>
  <c r="C72" i="17"/>
  <c r="G75" i="17"/>
  <c r="C87" i="17"/>
  <c r="D86" i="17"/>
  <c r="K44" i="17"/>
  <c r="G52" i="17"/>
  <c r="H51" i="17"/>
  <c r="K60" i="17"/>
  <c r="K61" i="17"/>
  <c r="K68" i="17"/>
  <c r="L67" i="17"/>
  <c r="K72" i="17"/>
  <c r="O75" i="17"/>
  <c r="P74" i="17"/>
  <c r="K81" i="17"/>
  <c r="N80" i="17"/>
  <c r="K87" i="17"/>
  <c r="L86" i="17"/>
  <c r="E89" i="17"/>
  <c r="C93" i="17"/>
  <c r="O52" i="17"/>
  <c r="P51" i="17"/>
  <c r="G68" i="17"/>
  <c r="G72" i="17"/>
  <c r="K75" i="17"/>
  <c r="L74" i="17"/>
  <c r="G81" i="17"/>
  <c r="J80" i="17"/>
  <c r="G87" i="17"/>
  <c r="O93" i="17"/>
  <c r="O108" i="17"/>
  <c r="P107" i="17"/>
  <c r="C61" i="17"/>
  <c r="K102" i="17"/>
  <c r="N101" i="17"/>
  <c r="E104" i="17"/>
  <c r="K129" i="17"/>
  <c r="L127" i="17"/>
  <c r="C41" i="17"/>
  <c r="C42" i="17"/>
  <c r="C57" i="17"/>
  <c r="C78" i="17"/>
  <c r="C90" i="17"/>
  <c r="G102" i="17"/>
  <c r="J101" i="17"/>
  <c r="P110" i="17"/>
  <c r="C102" i="17"/>
  <c r="F101" i="17"/>
  <c r="C106" i="17"/>
  <c r="K108" i="17"/>
  <c r="L107" i="17"/>
  <c r="O126" i="17"/>
  <c r="F136" i="17"/>
  <c r="K137" i="17"/>
  <c r="L136" i="17"/>
  <c r="C99" i="17"/>
  <c r="C100" i="17"/>
  <c r="G105" i="17"/>
  <c r="O106" i="17"/>
  <c r="G108" i="17"/>
  <c r="O117" i="17"/>
  <c r="O118" i="17"/>
  <c r="C105" i="17"/>
  <c r="K106" i="17"/>
  <c r="C108" i="17"/>
  <c r="D107" i="17"/>
  <c r="K117" i="17"/>
  <c r="K118" i="17"/>
  <c r="K135" i="17"/>
  <c r="N134" i="17"/>
  <c r="K134" i="17" s="1"/>
  <c r="C117" i="17"/>
  <c r="K130" i="17"/>
  <c r="G135" i="17"/>
  <c r="J134" i="17"/>
  <c r="G134" i="17" s="1"/>
  <c r="E127" i="17"/>
  <c r="P127" i="17"/>
  <c r="O134" i="17"/>
  <c r="C135" i="17"/>
  <c r="F134" i="17"/>
  <c r="L140" i="17"/>
  <c r="C147" i="17"/>
  <c r="D146" i="17"/>
  <c r="C148" i="17"/>
  <c r="C131" i="17"/>
  <c r="C133" i="17"/>
  <c r="H136" i="17"/>
  <c r="C137" i="17"/>
  <c r="H140" i="17"/>
  <c r="G141" i="17"/>
  <c r="O147" i="17"/>
  <c r="P146" i="17"/>
  <c r="O146" i="17" s="1"/>
  <c r="O137" i="17"/>
  <c r="D140" i="17"/>
  <c r="K147" i="17"/>
  <c r="L146" i="17"/>
  <c r="K146" i="17" s="1"/>
  <c r="K152" i="17"/>
  <c r="C138" i="17"/>
  <c r="C141" i="17"/>
  <c r="C152" i="17"/>
  <c r="C149" i="17"/>
  <c r="C150" i="17"/>
  <c r="S77" i="18"/>
  <c r="S82" i="18"/>
  <c r="O85" i="18"/>
  <c r="K93" i="18"/>
  <c r="H416" i="18"/>
  <c r="S500" i="18"/>
  <c r="O501" i="18"/>
  <c r="G509" i="18"/>
  <c r="O513" i="18"/>
  <c r="K517" i="18"/>
  <c r="O521" i="18"/>
  <c r="S92" i="18"/>
  <c r="O93" i="18"/>
  <c r="S297" i="18"/>
  <c r="O368" i="18"/>
  <c r="S39" i="18"/>
  <c r="S59" i="18"/>
  <c r="G93" i="18"/>
  <c r="S158" i="18"/>
  <c r="O159" i="18"/>
  <c r="S170" i="18"/>
  <c r="S536" i="18"/>
  <c r="T384" i="18"/>
  <c r="V402" i="18"/>
  <c r="C430" i="18"/>
  <c r="K437" i="18"/>
  <c r="O442" i="18"/>
  <c r="K525" i="18"/>
  <c r="S76" i="18"/>
  <c r="S89" i="18"/>
  <c r="S90" i="18"/>
  <c r="C93" i="18"/>
  <c r="S97" i="18"/>
  <c r="S101" i="18"/>
  <c r="O102" i="18"/>
  <c r="S114" i="18"/>
  <c r="S115" i="18"/>
  <c r="S118" i="18"/>
  <c r="O119" i="18"/>
  <c r="K127" i="18"/>
  <c r="S129" i="18"/>
  <c r="G136" i="18"/>
  <c r="K145" i="18"/>
  <c r="G167" i="18"/>
  <c r="S198" i="18"/>
  <c r="S201" i="18"/>
  <c r="S204" i="18"/>
  <c r="S276" i="18"/>
  <c r="S280" i="18"/>
  <c r="S281" i="18"/>
  <c r="S282" i="18"/>
  <c r="S283" i="18"/>
  <c r="S284" i="18"/>
  <c r="S287" i="18"/>
  <c r="K293" i="18"/>
  <c r="O337" i="18"/>
  <c r="K353" i="18"/>
  <c r="K368" i="18"/>
  <c r="O384" i="18"/>
  <c r="O430" i="18"/>
  <c r="C447" i="18"/>
  <c r="K447" i="18"/>
  <c r="C494" i="18"/>
  <c r="K497" i="18"/>
  <c r="K501" i="18"/>
  <c r="C509" i="18"/>
  <c r="K513" i="18"/>
  <c r="K521" i="18"/>
  <c r="S106" i="18"/>
  <c r="S110" i="18"/>
  <c r="K136" i="18"/>
  <c r="S142" i="18"/>
  <c r="S144" i="18"/>
  <c r="O145" i="18"/>
  <c r="S153" i="18"/>
  <c r="S292" i="18"/>
  <c r="O345" i="18"/>
  <c r="C533" i="18"/>
  <c r="U533" i="18"/>
  <c r="K119" i="18"/>
  <c r="S123" i="18"/>
  <c r="G127" i="18"/>
  <c r="S138" i="18"/>
  <c r="S140" i="18"/>
  <c r="S141" i="18"/>
  <c r="C320" i="18"/>
  <c r="O391" i="18"/>
  <c r="O424" i="18"/>
  <c r="O494" i="18"/>
  <c r="G497" i="18"/>
  <c r="G513" i="18"/>
  <c r="G521" i="18"/>
  <c r="S16" i="18"/>
  <c r="S25" i="18"/>
  <c r="S53" i="18"/>
  <c r="S135" i="18"/>
  <c r="O136" i="18"/>
  <c r="K159" i="18"/>
  <c r="S160" i="18"/>
  <c r="S190" i="18"/>
  <c r="S210" i="18"/>
  <c r="S227" i="18"/>
  <c r="S262" i="18"/>
  <c r="S270" i="18"/>
  <c r="O320" i="18"/>
  <c r="K424" i="18"/>
  <c r="G464" i="18"/>
  <c r="C513" i="18"/>
  <c r="O517" i="18"/>
  <c r="C521" i="18"/>
  <c r="S524" i="18"/>
  <c r="S528" i="18"/>
  <c r="S26" i="18"/>
  <c r="O111" i="18"/>
  <c r="S171" i="18"/>
  <c r="S174" i="18"/>
  <c r="O293" i="18"/>
  <c r="O375" i="18"/>
  <c r="S512" i="18"/>
  <c r="S520" i="18"/>
  <c r="H368" i="18"/>
  <c r="G425" i="18"/>
  <c r="T424" i="18"/>
  <c r="H424" i="18"/>
  <c r="S31" i="18"/>
  <c r="S44" i="18"/>
  <c r="K85" i="18"/>
  <c r="S87" i="18"/>
  <c r="S96" i="18"/>
  <c r="K102" i="18"/>
  <c r="S104" i="18"/>
  <c r="K111" i="18"/>
  <c r="S116" i="18"/>
  <c r="G119" i="18"/>
  <c r="S128" i="18"/>
  <c r="G145" i="18"/>
  <c r="S156" i="18"/>
  <c r="G159" i="18"/>
  <c r="S162" i="18"/>
  <c r="S166" i="18"/>
  <c r="O167" i="18"/>
  <c r="S172" i="18"/>
  <c r="I464" i="18"/>
  <c r="I22" i="17" s="1"/>
  <c r="U22" i="17" s="1"/>
  <c r="N539" i="18"/>
  <c r="S518" i="18"/>
  <c r="T517" i="18"/>
  <c r="S29" i="18"/>
  <c r="S52" i="18"/>
  <c r="G85" i="18"/>
  <c r="G102" i="18"/>
  <c r="S107" i="18"/>
  <c r="G111" i="18"/>
  <c r="S121" i="18"/>
  <c r="S122" i="18"/>
  <c r="S126" i="18"/>
  <c r="O127" i="18"/>
  <c r="S130" i="18"/>
  <c r="S131" i="18"/>
  <c r="S133" i="18"/>
  <c r="C136" i="18"/>
  <c r="K151" i="18"/>
  <c r="K167" i="18"/>
  <c r="S217" i="18"/>
  <c r="S223" i="18"/>
  <c r="R318" i="18"/>
  <c r="O318" i="18" s="1"/>
  <c r="O300" i="18"/>
  <c r="G369" i="18"/>
  <c r="T395" i="18"/>
  <c r="S224" i="18"/>
  <c r="S225" i="18"/>
  <c r="S278" i="18"/>
  <c r="S288" i="18"/>
  <c r="G293" i="18"/>
  <c r="S295" i="18"/>
  <c r="S296" i="18"/>
  <c r="C300" i="18"/>
  <c r="G300" i="18"/>
  <c r="K300" i="18"/>
  <c r="K320" i="18"/>
  <c r="K345" i="18"/>
  <c r="K384" i="18"/>
  <c r="O395" i="18"/>
  <c r="K430" i="18"/>
  <c r="V437" i="18"/>
  <c r="K442" i="18"/>
  <c r="O451" i="18"/>
  <c r="O455" i="18"/>
  <c r="J539" i="18"/>
  <c r="G487" i="18"/>
  <c r="K494" i="18"/>
  <c r="S510" i="18"/>
  <c r="G517" i="18"/>
  <c r="G525" i="18"/>
  <c r="S526" i="18"/>
  <c r="S530" i="18"/>
  <c r="O533" i="18"/>
  <c r="S193" i="18"/>
  <c r="S229" i="18"/>
  <c r="S231" i="18"/>
  <c r="S232" i="18"/>
  <c r="S233" i="18"/>
  <c r="S260" i="18"/>
  <c r="S272" i="18"/>
  <c r="S273" i="18"/>
  <c r="S301" i="18"/>
  <c r="S310" i="18"/>
  <c r="G320" i="18"/>
  <c r="O353" i="18"/>
  <c r="U384" i="18"/>
  <c r="K395" i="18"/>
  <c r="C424" i="18"/>
  <c r="O447" i="18"/>
  <c r="K451" i="18"/>
  <c r="V464" i="18"/>
  <c r="G494" i="18"/>
  <c r="G505" i="18"/>
  <c r="K509" i="18"/>
  <c r="U509" i="18"/>
  <c r="C517" i="18"/>
  <c r="C525" i="18"/>
  <c r="C529" i="18"/>
  <c r="K533" i="18"/>
  <c r="S68" i="18"/>
  <c r="C85" i="18"/>
  <c r="S112" i="18"/>
  <c r="S132" i="18"/>
  <c r="S150" i="18"/>
  <c r="O151" i="18"/>
  <c r="S152" i="18"/>
  <c r="S186" i="18"/>
  <c r="C236" i="18"/>
  <c r="G236" i="18"/>
  <c r="K236" i="18"/>
  <c r="O236" i="18"/>
  <c r="U337" i="18"/>
  <c r="S27" i="18"/>
  <c r="S28" i="18"/>
  <c r="S37" i="18"/>
  <c r="C102" i="18"/>
  <c r="C111" i="18"/>
  <c r="C145" i="18"/>
  <c r="C159" i="18"/>
  <c r="S191" i="18"/>
  <c r="S213" i="18"/>
  <c r="S228" i="18"/>
  <c r="S263" i="18"/>
  <c r="S269" i="18"/>
  <c r="S277" i="18"/>
  <c r="S285" i="18"/>
  <c r="S291" i="18"/>
  <c r="C293" i="18"/>
  <c r="C337" i="18"/>
  <c r="K337" i="18"/>
  <c r="S19" i="18"/>
  <c r="S41" i="18"/>
  <c r="S43" i="18"/>
  <c r="C67" i="18"/>
  <c r="S94" i="18"/>
  <c r="S103" i="18"/>
  <c r="C119" i="18"/>
  <c r="S124" i="18"/>
  <c r="C127" i="18"/>
  <c r="S137" i="18"/>
  <c r="S147" i="18"/>
  <c r="S164" i="18"/>
  <c r="C167" i="18"/>
  <c r="C185" i="18"/>
  <c r="G185" i="18"/>
  <c r="K185" i="18"/>
  <c r="O185" i="18"/>
  <c r="S194" i="18"/>
  <c r="S220" i="18"/>
  <c r="S230" i="18"/>
  <c r="S264" i="18"/>
  <c r="S271" i="18"/>
  <c r="S279" i="18"/>
  <c r="S286" i="18"/>
  <c r="S294" i="18"/>
  <c r="U505" i="18"/>
  <c r="O529" i="18"/>
  <c r="G533" i="18"/>
  <c r="V337" i="18"/>
  <c r="V395" i="18"/>
  <c r="O410" i="18"/>
  <c r="C416" i="18"/>
  <c r="I416" i="18"/>
  <c r="I103" i="17" s="1"/>
  <c r="I101" i="17" s="1"/>
  <c r="V430" i="18"/>
  <c r="H447" i="18"/>
  <c r="T447" i="18" s="1"/>
  <c r="U501" i="18"/>
  <c r="C505" i="18"/>
  <c r="K529" i="18"/>
  <c r="G345" i="18"/>
  <c r="G353" i="18"/>
  <c r="C375" i="18"/>
  <c r="K375" i="18"/>
  <c r="G395" i="18"/>
  <c r="C410" i="18"/>
  <c r="K410" i="18"/>
  <c r="O416" i="18"/>
  <c r="C451" i="18"/>
  <c r="C497" i="18"/>
  <c r="S498" i="18"/>
  <c r="S504" i="18"/>
  <c r="O505" i="18"/>
  <c r="V509" i="18"/>
  <c r="G529" i="18"/>
  <c r="S532" i="18"/>
  <c r="C345" i="18"/>
  <c r="C353" i="18"/>
  <c r="K361" i="18"/>
  <c r="C368" i="18"/>
  <c r="I368" i="18"/>
  <c r="I82" i="17" s="1"/>
  <c r="U82" i="17" s="1"/>
  <c r="C384" i="18"/>
  <c r="I384" i="18"/>
  <c r="I88" i="17" s="1"/>
  <c r="U88" i="17" s="1"/>
  <c r="C395" i="18"/>
  <c r="I395" i="18"/>
  <c r="I94" i="17" s="1"/>
  <c r="I91" i="17" s="1"/>
  <c r="K416" i="18"/>
  <c r="V416" i="18"/>
  <c r="H430" i="18"/>
  <c r="O437" i="18"/>
  <c r="K455" i="18"/>
  <c r="K464" i="18"/>
  <c r="S495" i="18"/>
  <c r="O497" i="18"/>
  <c r="K505" i="18"/>
  <c r="S508" i="18"/>
  <c r="O509" i="18"/>
  <c r="S516" i="18"/>
  <c r="U525" i="18"/>
  <c r="G15" i="18"/>
  <c r="C15" i="18"/>
  <c r="S79" i="18"/>
  <c r="C58" i="18"/>
  <c r="S58" i="18"/>
  <c r="O15" i="18"/>
  <c r="S62" i="18"/>
  <c r="S86" i="18"/>
  <c r="S105" i="18"/>
  <c r="G151" i="18"/>
  <c r="S154" i="18"/>
  <c r="S189" i="18"/>
  <c r="S207" i="18"/>
  <c r="S226" i="18"/>
  <c r="G318" i="18"/>
  <c r="K15" i="18"/>
  <c r="S88" i="18"/>
  <c r="S98" i="18"/>
  <c r="S113" i="18"/>
  <c r="S120" i="18"/>
  <c r="S139" i="18"/>
  <c r="S168" i="18"/>
  <c r="C53" i="18"/>
  <c r="S67" i="18"/>
  <c r="C151" i="18"/>
  <c r="C240" i="18"/>
  <c r="D318" i="18"/>
  <c r="C318" i="18" s="1"/>
  <c r="G346" i="18"/>
  <c r="G354" i="18"/>
  <c r="C391" i="18"/>
  <c r="K391" i="18"/>
  <c r="I391" i="18"/>
  <c r="I90" i="17" s="1"/>
  <c r="I89" i="17" s="1"/>
  <c r="U391" i="18"/>
  <c r="O402" i="18"/>
  <c r="V424" i="18"/>
  <c r="V384" i="18"/>
  <c r="V501" i="18"/>
  <c r="S501" i="18" s="1"/>
  <c r="S502" i="18"/>
  <c r="G36" i="18"/>
  <c r="K36" i="18"/>
  <c r="O36" i="18"/>
  <c r="O361" i="18"/>
  <c r="C402" i="18"/>
  <c r="K402" i="18"/>
  <c r="I402" i="18"/>
  <c r="U402" i="18"/>
  <c r="I410" i="18"/>
  <c r="I100" i="17" s="1"/>
  <c r="U100" i="17" s="1"/>
  <c r="U410" i="18"/>
  <c r="C437" i="18"/>
  <c r="I437" i="18"/>
  <c r="I112" i="17" s="1"/>
  <c r="U112" i="17" s="1"/>
  <c r="U437" i="18"/>
  <c r="G443" i="18"/>
  <c r="H442" i="18"/>
  <c r="T442" i="18" s="1"/>
  <c r="R539" i="18"/>
  <c r="O464" i="18"/>
  <c r="I375" i="18"/>
  <c r="I85" i="17" s="1"/>
  <c r="I83" i="17" s="1"/>
  <c r="U375" i="18"/>
  <c r="H337" i="18"/>
  <c r="I361" i="18"/>
  <c r="U361" i="18" s="1"/>
  <c r="I451" i="18"/>
  <c r="I121" i="17" s="1"/>
  <c r="U121" i="17" s="1"/>
  <c r="U451" i="18"/>
  <c r="C361" i="18"/>
  <c r="U424" i="18"/>
  <c r="U430" i="18"/>
  <c r="G455" i="18"/>
  <c r="T455" i="18"/>
  <c r="S455" i="18" s="1"/>
  <c r="C464" i="18"/>
  <c r="H361" i="18"/>
  <c r="T361" i="18" s="1"/>
  <c r="H375" i="18"/>
  <c r="H391" i="18"/>
  <c r="H402" i="18"/>
  <c r="H410" i="18"/>
  <c r="H437" i="18"/>
  <c r="C442" i="18"/>
  <c r="H451" i="18"/>
  <c r="C455" i="18"/>
  <c r="S463" i="18"/>
  <c r="S497" i="18"/>
  <c r="S522" i="18"/>
  <c r="T521" i="18"/>
  <c r="S521" i="18" s="1"/>
  <c r="S534" i="18"/>
  <c r="T533" i="18"/>
  <c r="S533" i="18" s="1"/>
  <c r="S494" i="18"/>
  <c r="G501" i="18"/>
  <c r="S538" i="18"/>
  <c r="H539" i="18"/>
  <c r="L539" i="18"/>
  <c r="P539" i="18"/>
  <c r="S483" i="18"/>
  <c r="C501" i="18"/>
  <c r="S506" i="18"/>
  <c r="T505" i="18"/>
  <c r="S505" i="18" s="1"/>
  <c r="V517" i="18"/>
  <c r="M539" i="18"/>
  <c r="Q539" i="18"/>
  <c r="S514" i="18"/>
  <c r="T513" i="18"/>
  <c r="S513" i="18" s="1"/>
  <c r="V525" i="18"/>
  <c r="S525" i="18" s="1"/>
  <c r="S541" i="18"/>
  <c r="T529" i="18"/>
  <c r="D55" i="17" l="1"/>
  <c r="T55" i="17" s="1"/>
  <c r="F55" i="17"/>
  <c r="C52" i="17"/>
  <c r="V83" i="17"/>
  <c r="U104" i="17"/>
  <c r="T142" i="17"/>
  <c r="S142" i="17" s="1"/>
  <c r="U67" i="17"/>
  <c r="S66" i="17"/>
  <c r="V101" i="17"/>
  <c r="C60" i="17"/>
  <c r="S122" i="17"/>
  <c r="E39" i="17"/>
  <c r="U39" i="17" s="1"/>
  <c r="E43" i="17"/>
  <c r="U43" i="17" s="1"/>
  <c r="V110" i="17"/>
  <c r="V98" i="17"/>
  <c r="V119" i="17"/>
  <c r="U127" i="17"/>
  <c r="S123" i="17"/>
  <c r="T148" i="17"/>
  <c r="S148" i="17" s="1"/>
  <c r="T136" i="17"/>
  <c r="V104" i="17"/>
  <c r="U136" i="17"/>
  <c r="V114" i="17"/>
  <c r="S64" i="17"/>
  <c r="D51" i="17"/>
  <c r="T51" i="17" s="1"/>
  <c r="C56" i="17"/>
  <c r="E59" i="17"/>
  <c r="U59" i="17" s="1"/>
  <c r="U62" i="17"/>
  <c r="E95" i="17"/>
  <c r="R144" i="17"/>
  <c r="V145" i="17"/>
  <c r="E70" i="17"/>
  <c r="U73" i="17"/>
  <c r="E51" i="17"/>
  <c r="U51" i="17" s="1"/>
  <c r="U52" i="17"/>
  <c r="C134" i="17"/>
  <c r="V134" i="17"/>
  <c r="S134" i="17" s="1"/>
  <c r="U89" i="17"/>
  <c r="T132" i="17"/>
  <c r="C130" i="17"/>
  <c r="T130" i="17"/>
  <c r="S130" i="17" s="1"/>
  <c r="V140" i="17"/>
  <c r="U55" i="17"/>
  <c r="U116" i="17"/>
  <c r="V86" i="17"/>
  <c r="U107" i="17"/>
  <c r="V62" i="17"/>
  <c r="T24" i="17"/>
  <c r="F47" i="17"/>
  <c r="V47" i="17" s="1"/>
  <c r="V48" i="17"/>
  <c r="U48" i="17"/>
  <c r="D47" i="17"/>
  <c r="T48" i="17"/>
  <c r="U24" i="17"/>
  <c r="V16" i="17"/>
  <c r="U21" i="17"/>
  <c r="E77" i="17"/>
  <c r="R150" i="17"/>
  <c r="V150" i="17" s="1"/>
  <c r="V152" i="17"/>
  <c r="F35" i="17"/>
  <c r="V35" i="17" s="1"/>
  <c r="V36" i="17"/>
  <c r="D35" i="17"/>
  <c r="T35" i="17" s="1"/>
  <c r="T36" i="17"/>
  <c r="U90" i="17"/>
  <c r="T138" i="17"/>
  <c r="S138" i="17" s="1"/>
  <c r="U132" i="17"/>
  <c r="C158" i="17"/>
  <c r="V158" i="17"/>
  <c r="S158" i="17" s="1"/>
  <c r="E63" i="17"/>
  <c r="U63" i="17" s="1"/>
  <c r="U64" i="17"/>
  <c r="C89" i="17"/>
  <c r="C153" i="17"/>
  <c r="V153" i="17"/>
  <c r="S153" i="17" s="1"/>
  <c r="V132" i="17"/>
  <c r="U83" i="17"/>
  <c r="D59" i="17"/>
  <c r="T62" i="17"/>
  <c r="P144" i="17"/>
  <c r="T144" i="17" s="1"/>
  <c r="T145" i="17"/>
  <c r="V18" i="17"/>
  <c r="U18" i="17"/>
  <c r="F70" i="17"/>
  <c r="V70" i="17" s="1"/>
  <c r="V73" i="17"/>
  <c r="D70" i="17"/>
  <c r="T73" i="17"/>
  <c r="E74" i="17"/>
  <c r="U74" i="17" s="1"/>
  <c r="U76" i="17"/>
  <c r="F116" i="17"/>
  <c r="V116" i="17" s="1"/>
  <c r="V118" i="17"/>
  <c r="D113" i="17"/>
  <c r="T114" i="17"/>
  <c r="F51" i="17"/>
  <c r="V51" i="17" s="1"/>
  <c r="V52" i="17"/>
  <c r="S52" i="17" s="1"/>
  <c r="U118" i="17"/>
  <c r="U94" i="17"/>
  <c r="F74" i="17"/>
  <c r="V74" i="17" s="1"/>
  <c r="V76" i="17"/>
  <c r="S76" i="17" s="1"/>
  <c r="T146" i="17"/>
  <c r="S146" i="17" s="1"/>
  <c r="T140" i="17"/>
  <c r="V136" i="17"/>
  <c r="V80" i="17"/>
  <c r="V127" i="17"/>
  <c r="U101" i="17"/>
  <c r="V67" i="17"/>
  <c r="V107" i="17"/>
  <c r="U140" i="17"/>
  <c r="T127" i="17"/>
  <c r="D95" i="17"/>
  <c r="F95" i="17"/>
  <c r="V95" i="17" s="1"/>
  <c r="V97" i="17"/>
  <c r="U16" i="17"/>
  <c r="T18" i="17"/>
  <c r="V21" i="17"/>
  <c r="T21" i="17"/>
  <c r="P150" i="17"/>
  <c r="T150" i="17" s="1"/>
  <c r="T152" i="17"/>
  <c r="Q150" i="17"/>
  <c r="U150" i="17" s="1"/>
  <c r="U152" i="17"/>
  <c r="F27" i="17"/>
  <c r="V27" i="17" s="1"/>
  <c r="V28" i="17"/>
  <c r="S28" i="17" s="1"/>
  <c r="E35" i="17"/>
  <c r="U35" i="17" s="1"/>
  <c r="U36" i="17"/>
  <c r="D39" i="17"/>
  <c r="T39" i="17" s="1"/>
  <c r="T40" i="17"/>
  <c r="F39" i="17"/>
  <c r="V39" i="17" s="1"/>
  <c r="V40" i="17"/>
  <c r="U91" i="17"/>
  <c r="U103" i="17"/>
  <c r="U85" i="17"/>
  <c r="F23" i="17"/>
  <c r="V24" i="17"/>
  <c r="C36" i="17"/>
  <c r="F43" i="17"/>
  <c r="V43" i="17" s="1"/>
  <c r="F31" i="17"/>
  <c r="V31" i="17" s="1"/>
  <c r="C40" i="17"/>
  <c r="D43" i="17"/>
  <c r="T43" i="17" s="1"/>
  <c r="C44" i="17"/>
  <c r="C32" i="17"/>
  <c r="C28" i="17"/>
  <c r="D27" i="17"/>
  <c r="E31" i="17"/>
  <c r="U31" i="17" s="1"/>
  <c r="E27" i="17"/>
  <c r="U27" i="17" s="1"/>
  <c r="C118" i="17"/>
  <c r="S32" i="17"/>
  <c r="D31" i="17"/>
  <c r="H461" i="18"/>
  <c r="G461" i="18" s="1"/>
  <c r="C114" i="17"/>
  <c r="C115" i="17"/>
  <c r="C79" i="17"/>
  <c r="C76" i="17"/>
  <c r="D63" i="17"/>
  <c r="T63" i="17" s="1"/>
  <c r="C64" i="17"/>
  <c r="V461" i="18"/>
  <c r="F77" i="17"/>
  <c r="I461" i="18"/>
  <c r="U461" i="18"/>
  <c r="F63" i="17"/>
  <c r="V63" i="17" s="1"/>
  <c r="O152" i="17"/>
  <c r="C73" i="17"/>
  <c r="H74" i="17"/>
  <c r="G74" i="17" s="1"/>
  <c r="G76" i="17"/>
  <c r="C18" i="17"/>
  <c r="K97" i="17"/>
  <c r="S529" i="18"/>
  <c r="F113" i="17"/>
  <c r="G114" i="17"/>
  <c r="K114" i="17"/>
  <c r="K24" i="17"/>
  <c r="C97" i="17"/>
  <c r="O97" i="17"/>
  <c r="O145" i="17"/>
  <c r="L95" i="17"/>
  <c r="K95" i="17" s="1"/>
  <c r="G19" i="17"/>
  <c r="E113" i="17"/>
  <c r="T236" i="18"/>
  <c r="T298" i="18" s="1"/>
  <c r="G24" i="17"/>
  <c r="C19" i="17"/>
  <c r="K19" i="17"/>
  <c r="K17" i="17"/>
  <c r="U298" i="18"/>
  <c r="E23" i="17"/>
  <c r="V298" i="18"/>
  <c r="T36" i="18"/>
  <c r="C16" i="17"/>
  <c r="K16" i="17"/>
  <c r="G21" i="17"/>
  <c r="I97" i="17"/>
  <c r="U97" i="17" s="1"/>
  <c r="G234" i="18"/>
  <c r="O16" i="17"/>
  <c r="G48" i="17"/>
  <c r="K48" i="17"/>
  <c r="E47" i="17"/>
  <c r="U47" i="17" s="1"/>
  <c r="O48" i="17"/>
  <c r="L47" i="17"/>
  <c r="K47" i="17" s="1"/>
  <c r="C48" i="17"/>
  <c r="O24" i="17"/>
  <c r="F15" i="17"/>
  <c r="C21" i="17"/>
  <c r="K21" i="17"/>
  <c r="G62" i="17"/>
  <c r="C62" i="17"/>
  <c r="M15" i="17"/>
  <c r="M157" i="17" s="1"/>
  <c r="K18" i="17"/>
  <c r="O21" i="17"/>
  <c r="F59" i="17"/>
  <c r="D23" i="17"/>
  <c r="C24" i="17"/>
  <c r="K62" i="17"/>
  <c r="E15" i="17"/>
  <c r="K318" i="18"/>
  <c r="C234" i="18"/>
  <c r="O234" i="18"/>
  <c r="N59" i="17"/>
  <c r="K59" i="17" s="1"/>
  <c r="R15" i="17"/>
  <c r="K58" i="17"/>
  <c r="L15" i="17"/>
  <c r="I110" i="17"/>
  <c r="U110" i="17" s="1"/>
  <c r="I80" i="17"/>
  <c r="U80" i="17" s="1"/>
  <c r="K234" i="18"/>
  <c r="N55" i="17"/>
  <c r="N15" i="17"/>
  <c r="G18" i="17"/>
  <c r="K20" i="17"/>
  <c r="O62" i="17"/>
  <c r="O18" i="17"/>
  <c r="G410" i="18"/>
  <c r="H100" i="17"/>
  <c r="T100" i="17" s="1"/>
  <c r="S100" i="17" s="1"/>
  <c r="G451" i="18"/>
  <c r="H121" i="17"/>
  <c r="T121" i="17" s="1"/>
  <c r="S121" i="17" s="1"/>
  <c r="G402" i="18"/>
  <c r="H97" i="17"/>
  <c r="T97" i="17" s="1"/>
  <c r="G430" i="18"/>
  <c r="H109" i="17"/>
  <c r="T109" i="17" s="1"/>
  <c r="S109" i="17" s="1"/>
  <c r="G424" i="18"/>
  <c r="H106" i="17"/>
  <c r="T106" i="17" s="1"/>
  <c r="S106" i="17" s="1"/>
  <c r="G368" i="18"/>
  <c r="H82" i="17"/>
  <c r="T82" i="17" s="1"/>
  <c r="S82" i="17" s="1"/>
  <c r="P15" i="17"/>
  <c r="I115" i="17"/>
  <c r="U115" i="17" s="1"/>
  <c r="R59" i="17"/>
  <c r="I119" i="17"/>
  <c r="U119" i="17" s="1"/>
  <c r="I98" i="17"/>
  <c r="U98" i="17" s="1"/>
  <c r="P59" i="17"/>
  <c r="I86" i="17"/>
  <c r="U86" i="17" s="1"/>
  <c r="I79" i="17"/>
  <c r="U79" i="17" s="1"/>
  <c r="G447" i="18"/>
  <c r="H118" i="17"/>
  <c r="T118" i="17" s="1"/>
  <c r="G416" i="18"/>
  <c r="H103" i="17"/>
  <c r="T103" i="17" s="1"/>
  <c r="S103" i="17" s="1"/>
  <c r="G384" i="18"/>
  <c r="H88" i="17"/>
  <c r="T88" i="17" s="1"/>
  <c r="S88" i="17" s="1"/>
  <c r="S20" i="17"/>
  <c r="Q15" i="17"/>
  <c r="G361" i="18"/>
  <c r="H79" i="17"/>
  <c r="T79" i="17" s="1"/>
  <c r="S79" i="17" s="1"/>
  <c r="G391" i="18"/>
  <c r="H90" i="17"/>
  <c r="T90" i="17" s="1"/>
  <c r="S90" i="17" s="1"/>
  <c r="G437" i="18"/>
  <c r="H112" i="17"/>
  <c r="T112" i="17" s="1"/>
  <c r="S112" i="17" s="1"/>
  <c r="G375" i="18"/>
  <c r="H85" i="17"/>
  <c r="T85" i="17" s="1"/>
  <c r="S85" i="17" s="1"/>
  <c r="G337" i="18"/>
  <c r="H69" i="17"/>
  <c r="T69" i="17" s="1"/>
  <c r="S69" i="17" s="1"/>
  <c r="G442" i="18"/>
  <c r="H115" i="17"/>
  <c r="T115" i="17" s="1"/>
  <c r="S115" i="17" s="1"/>
  <c r="I539" i="18"/>
  <c r="C183" i="18"/>
  <c r="S509" i="18"/>
  <c r="V539" i="18"/>
  <c r="T539" i="18"/>
  <c r="S102" i="18"/>
  <c r="G180" i="18"/>
  <c r="S50" i="17"/>
  <c r="S119" i="18"/>
  <c r="G298" i="18"/>
  <c r="S127" i="18"/>
  <c r="K67" i="17"/>
  <c r="S72" i="17"/>
  <c r="S129" i="17"/>
  <c r="S54" i="17"/>
  <c r="S53" i="17"/>
  <c r="G91" i="17"/>
  <c r="K86" i="17"/>
  <c r="K116" i="17"/>
  <c r="O23" i="17"/>
  <c r="K35" i="17"/>
  <c r="K31" i="17"/>
  <c r="K74" i="17"/>
  <c r="S34" i="17"/>
  <c r="K110" i="17"/>
  <c r="O74" i="17"/>
  <c r="K140" i="17"/>
  <c r="O113" i="17"/>
  <c r="C104" i="17"/>
  <c r="O132" i="17"/>
  <c r="O136" i="17"/>
  <c r="G127" i="17"/>
  <c r="S14" i="17"/>
  <c r="G43" i="17"/>
  <c r="O101" i="17"/>
  <c r="K104" i="17"/>
  <c r="O124" i="17"/>
  <c r="K127" i="17"/>
  <c r="K91" i="17"/>
  <c r="O77" i="17"/>
  <c r="K136" i="17"/>
  <c r="G132" i="17"/>
  <c r="O35" i="17"/>
  <c r="C132" i="17"/>
  <c r="C110" i="17"/>
  <c r="O43" i="17"/>
  <c r="O27" i="17"/>
  <c r="S33" i="17"/>
  <c r="G124" i="17"/>
  <c r="G27" i="17"/>
  <c r="K132" i="17"/>
  <c r="O104" i="17"/>
  <c r="O95" i="17"/>
  <c r="O110" i="17"/>
  <c r="K70" i="17"/>
  <c r="K124" i="17"/>
  <c r="G70" i="17"/>
  <c r="S38" i="17"/>
  <c r="S60" i="17"/>
  <c r="O119" i="17"/>
  <c r="K83" i="17"/>
  <c r="S61" i="17"/>
  <c r="S13" i="17"/>
  <c r="O83" i="17"/>
  <c r="S29" i="17"/>
  <c r="G47" i="17"/>
  <c r="C101" i="17"/>
  <c r="S93" i="17"/>
  <c r="C119" i="17"/>
  <c r="K98" i="17"/>
  <c r="O47" i="17"/>
  <c r="K27" i="17"/>
  <c r="O107" i="17"/>
  <c r="G51" i="17"/>
  <c r="K23" i="17"/>
  <c r="O55" i="17"/>
  <c r="S49" i="17"/>
  <c r="K101" i="17"/>
  <c r="O51" i="17"/>
  <c r="O86" i="17"/>
  <c r="C127" i="17"/>
  <c r="S37" i="17"/>
  <c r="K107" i="17"/>
  <c r="K51" i="17"/>
  <c r="O31" i="17"/>
  <c r="O63" i="17"/>
  <c r="S22" i="17"/>
  <c r="O39" i="17"/>
  <c r="C83" i="17"/>
  <c r="S46" i="17"/>
  <c r="K39" i="17"/>
  <c r="O140" i="17"/>
  <c r="S30" i="17"/>
  <c r="K119" i="17"/>
  <c r="O116" i="17"/>
  <c r="C98" i="17"/>
  <c r="O127" i="17"/>
  <c r="G63" i="17"/>
  <c r="G39" i="17"/>
  <c r="S25" i="17"/>
  <c r="S26" i="17"/>
  <c r="K113" i="17"/>
  <c r="K63" i="17"/>
  <c r="S57" i="17"/>
  <c r="G31" i="17"/>
  <c r="C298" i="18"/>
  <c r="S93" i="18"/>
  <c r="G140" i="17"/>
  <c r="K539" i="18"/>
  <c r="S85" i="18"/>
  <c r="O80" i="17"/>
  <c r="G35" i="17"/>
  <c r="S159" i="18"/>
  <c r="O98" i="17"/>
  <c r="S345" i="18"/>
  <c r="S384" i="18"/>
  <c r="T416" i="18"/>
  <c r="S416" i="18" s="1"/>
  <c r="O67" i="17"/>
  <c r="C142" i="17"/>
  <c r="O91" i="17"/>
  <c r="S44" i="17"/>
  <c r="S56" i="17"/>
  <c r="K77" i="17"/>
  <c r="S141" i="17"/>
  <c r="S41" i="17"/>
  <c r="G59" i="17"/>
  <c r="K43" i="17"/>
  <c r="S42" i="17"/>
  <c r="S94" i="17"/>
  <c r="S45" i="17"/>
  <c r="C144" i="17"/>
  <c r="G55" i="17"/>
  <c r="C122" i="17"/>
  <c r="G23" i="17"/>
  <c r="C140" i="17"/>
  <c r="C146" i="17"/>
  <c r="C80" i="17"/>
  <c r="G136" i="17"/>
  <c r="C136" i="17"/>
  <c r="K80" i="17"/>
  <c r="C86" i="17"/>
  <c r="C67" i="17"/>
  <c r="C91" i="17"/>
  <c r="C124" i="17"/>
  <c r="C107" i="17"/>
  <c r="S517" i="18"/>
  <c r="K298" i="18"/>
  <c r="S293" i="18"/>
  <c r="O298" i="18"/>
  <c r="G539" i="18"/>
  <c r="S395" i="18"/>
  <c r="S259" i="18"/>
  <c r="S145" i="18"/>
  <c r="G183" i="18"/>
  <c r="C539" i="18"/>
  <c r="S151" i="18"/>
  <c r="S111" i="18"/>
  <c r="R540" i="18"/>
  <c r="R542" i="18" s="1"/>
  <c r="M540" i="18"/>
  <c r="M542" i="18" s="1"/>
  <c r="S167" i="18"/>
  <c r="T430" i="18"/>
  <c r="S430" i="18" s="1"/>
  <c r="N540" i="18"/>
  <c r="N542" i="18" s="1"/>
  <c r="S464" i="18"/>
  <c r="S136" i="18"/>
  <c r="S268" i="18"/>
  <c r="S424" i="18"/>
  <c r="O461" i="18"/>
  <c r="S353" i="18"/>
  <c r="S447" i="18"/>
  <c r="U464" i="18"/>
  <c r="U539" i="18" s="1"/>
  <c r="E540" i="18"/>
  <c r="F540" i="18"/>
  <c r="J540" i="18"/>
  <c r="J542" i="18" s="1"/>
  <c r="O539" i="18"/>
  <c r="T451" i="18"/>
  <c r="S451" i="18" s="1"/>
  <c r="T402" i="18"/>
  <c r="S442" i="18"/>
  <c r="K461" i="18"/>
  <c r="S318" i="18"/>
  <c r="C36" i="18"/>
  <c r="S32" i="18"/>
  <c r="S15" i="18"/>
  <c r="T391" i="18"/>
  <c r="S391" i="18" s="1"/>
  <c r="S320" i="18"/>
  <c r="K32" i="18"/>
  <c r="S300" i="18"/>
  <c r="O32" i="18"/>
  <c r="S234" i="18"/>
  <c r="T437" i="18"/>
  <c r="T410" i="18"/>
  <c r="S410" i="18" s="1"/>
  <c r="T375" i="18"/>
  <c r="S375" i="18" s="1"/>
  <c r="S361" i="18"/>
  <c r="T337" i="18"/>
  <c r="S337" i="18" s="1"/>
  <c r="S338" i="18"/>
  <c r="C461" i="18"/>
  <c r="C32" i="18"/>
  <c r="S185" i="18"/>
  <c r="G32" i="18"/>
  <c r="C55" i="17" l="1"/>
  <c r="V55" i="17"/>
  <c r="S55" i="17" s="1"/>
  <c r="S150" i="17"/>
  <c r="S140" i="17"/>
  <c r="S114" i="17"/>
  <c r="S118" i="17"/>
  <c r="S152" i="17"/>
  <c r="C95" i="17"/>
  <c r="S51" i="17"/>
  <c r="S43" i="17"/>
  <c r="C74" i="17"/>
  <c r="N157" i="17"/>
  <c r="N159" i="17" s="1"/>
  <c r="S39" i="17"/>
  <c r="S97" i="17"/>
  <c r="S35" i="17"/>
  <c r="C51" i="17"/>
  <c r="O144" i="17"/>
  <c r="C39" i="17"/>
  <c r="S136" i="17"/>
  <c r="T59" i="17"/>
  <c r="T47" i="17"/>
  <c r="S47" i="17" s="1"/>
  <c r="C35" i="17"/>
  <c r="S63" i="17"/>
  <c r="O150" i="17"/>
  <c r="S145" i="17"/>
  <c r="S36" i="17"/>
  <c r="C116" i="17"/>
  <c r="R157" i="17"/>
  <c r="R159" i="17" s="1"/>
  <c r="T23" i="17"/>
  <c r="C31" i="17"/>
  <c r="T31" i="17"/>
  <c r="S31" i="17" s="1"/>
  <c r="V144" i="17"/>
  <c r="S144" i="17" s="1"/>
  <c r="S132" i="17"/>
  <c r="C47" i="17"/>
  <c r="E157" i="17"/>
  <c r="E159" i="17" s="1"/>
  <c r="V59" i="17"/>
  <c r="C113" i="17"/>
  <c r="V113" i="17"/>
  <c r="C27" i="17"/>
  <c r="T27" i="17"/>
  <c r="S27" i="17" s="1"/>
  <c r="C70" i="17"/>
  <c r="L157" i="17"/>
  <c r="L159" i="17" s="1"/>
  <c r="Y23" i="17"/>
  <c r="U23" i="17"/>
  <c r="C77" i="17"/>
  <c r="V77" i="17"/>
  <c r="T74" i="17"/>
  <c r="S74" i="17" s="1"/>
  <c r="V23" i="17"/>
  <c r="F157" i="17"/>
  <c r="C43" i="17"/>
  <c r="S40" i="17"/>
  <c r="F542" i="18"/>
  <c r="V542" i="18" s="1"/>
  <c r="V540" i="18"/>
  <c r="C63" i="17"/>
  <c r="S73" i="17"/>
  <c r="T461" i="18"/>
  <c r="S461" i="18" s="1"/>
  <c r="S236" i="18"/>
  <c r="M159" i="17"/>
  <c r="S19" i="17"/>
  <c r="V183" i="18"/>
  <c r="I95" i="17"/>
  <c r="U95" i="17" s="1"/>
  <c r="S402" i="18"/>
  <c r="S24" i="17"/>
  <c r="C23" i="17"/>
  <c r="S48" i="17"/>
  <c r="S21" i="17"/>
  <c r="C59" i="17"/>
  <c r="S18" i="17"/>
  <c r="O59" i="17"/>
  <c r="S62" i="17"/>
  <c r="K55" i="17"/>
  <c r="E542" i="18"/>
  <c r="O15" i="17"/>
  <c r="S58" i="17"/>
  <c r="I540" i="18"/>
  <c r="I542" i="18" s="1"/>
  <c r="K15" i="17"/>
  <c r="I15" i="17"/>
  <c r="U15" i="17" s="1"/>
  <c r="G69" i="17"/>
  <c r="H67" i="17"/>
  <c r="T67" i="17" s="1"/>
  <c r="S67" i="17" s="1"/>
  <c r="G112" i="17"/>
  <c r="H110" i="17"/>
  <c r="T110" i="17" s="1"/>
  <c r="S110" i="17" s="1"/>
  <c r="G88" i="17"/>
  <c r="H86" i="17"/>
  <c r="T86" i="17" s="1"/>
  <c r="S86" i="17" s="1"/>
  <c r="I113" i="17"/>
  <c r="U113" i="17" s="1"/>
  <c r="G82" i="17"/>
  <c r="H80" i="17"/>
  <c r="T80" i="17" s="1"/>
  <c r="S80" i="17" s="1"/>
  <c r="G97" i="17"/>
  <c r="H95" i="17"/>
  <c r="T95" i="17" s="1"/>
  <c r="S95" i="17" s="1"/>
  <c r="H77" i="17"/>
  <c r="T77" i="17" s="1"/>
  <c r="G79" i="17"/>
  <c r="G103" i="17"/>
  <c r="H101" i="17"/>
  <c r="T101" i="17" s="1"/>
  <c r="S101" i="17" s="1"/>
  <c r="I77" i="17"/>
  <c r="U77" i="17" s="1"/>
  <c r="H113" i="17"/>
  <c r="T113" i="17" s="1"/>
  <c r="G115" i="17"/>
  <c r="G85" i="17"/>
  <c r="H83" i="17"/>
  <c r="T83" i="17" s="1"/>
  <c r="S83" i="17" s="1"/>
  <c r="H89" i="17"/>
  <c r="T89" i="17" s="1"/>
  <c r="S89" i="17" s="1"/>
  <c r="G90" i="17"/>
  <c r="H104" i="17"/>
  <c r="T104" i="17" s="1"/>
  <c r="S104" i="17" s="1"/>
  <c r="G106" i="17"/>
  <c r="G109" i="17"/>
  <c r="H107" i="17"/>
  <c r="T107" i="17" s="1"/>
  <c r="S107" i="17" s="1"/>
  <c r="H119" i="17"/>
  <c r="T119" i="17" s="1"/>
  <c r="S119" i="17" s="1"/>
  <c r="G121" i="17"/>
  <c r="H98" i="17"/>
  <c r="T98" i="17" s="1"/>
  <c r="S98" i="17" s="1"/>
  <c r="G100" i="17"/>
  <c r="H116" i="17"/>
  <c r="T116" i="17" s="1"/>
  <c r="S116" i="17" s="1"/>
  <c r="G118" i="17"/>
  <c r="S17" i="17"/>
  <c r="C17" i="17"/>
  <c r="D15" i="17"/>
  <c r="S437" i="18"/>
  <c r="S298" i="18"/>
  <c r="S91" i="17"/>
  <c r="S127" i="17"/>
  <c r="H540" i="18"/>
  <c r="D540" i="18"/>
  <c r="S539" i="18"/>
  <c r="S36" i="18"/>
  <c r="S23" i="17" l="1"/>
  <c r="S77" i="17"/>
  <c r="S59" i="17"/>
  <c r="S113" i="17"/>
  <c r="I157" i="17"/>
  <c r="D157" i="17"/>
  <c r="F159" i="17"/>
  <c r="H542" i="18"/>
  <c r="K157" i="17"/>
  <c r="K159" i="17" s="1"/>
  <c r="G119" i="17"/>
  <c r="G110" i="17"/>
  <c r="G98" i="17"/>
  <c r="G107" i="17"/>
  <c r="G89" i="17"/>
  <c r="G80" i="17"/>
  <c r="G86" i="17"/>
  <c r="G116" i="17"/>
  <c r="G104" i="17"/>
  <c r="G83" i="17"/>
  <c r="G113" i="17"/>
  <c r="G101" i="17"/>
  <c r="G77" i="17"/>
  <c r="G95" i="17"/>
  <c r="G67" i="17"/>
  <c r="C15" i="17"/>
  <c r="G540" i="18"/>
  <c r="D542" i="18"/>
  <c r="C540" i="18"/>
  <c r="G542" i="18" l="1"/>
  <c r="I159" i="17"/>
  <c r="C157" i="17"/>
  <c r="C159" i="17" s="1"/>
  <c r="D159" i="17"/>
  <c r="C542" i="18"/>
  <c r="D19" i="1" l="1"/>
  <c r="D72" i="1" l="1"/>
  <c r="D53" i="2"/>
  <c r="D63" i="1" s="1"/>
  <c r="D76" i="1"/>
  <c r="D60" i="1"/>
  <c r="D11" i="1"/>
  <c r="D13" i="1"/>
  <c r="D17" i="1"/>
  <c r="D58" i="1" l="1"/>
  <c r="D57" i="1"/>
  <c r="C53" i="2"/>
  <c r="D10" i="1"/>
  <c r="D75" i="1" l="1"/>
  <c r="D83" i="1" l="1"/>
  <c r="S16" i="17"/>
  <c r="J15" i="17"/>
  <c r="G16" i="17"/>
  <c r="H15" i="17"/>
  <c r="H157" i="17" l="1"/>
  <c r="T15" i="17"/>
  <c r="J157" i="17"/>
  <c r="V157" i="17" s="1"/>
  <c r="V15" i="17"/>
  <c r="G15" i="17"/>
  <c r="S15" i="17" l="1"/>
  <c r="J159" i="17"/>
  <c r="V159" i="17"/>
  <c r="H159" i="17"/>
  <c r="G157" i="17"/>
  <c r="G159" i="17" s="1"/>
  <c r="K180" i="18" l="1"/>
  <c r="L540" i="18"/>
  <c r="L542" i="18" l="1"/>
  <c r="K540" i="18"/>
  <c r="K542" i="18" s="1"/>
  <c r="K183" i="18"/>
  <c r="O180" i="18"/>
  <c r="P71" i="17"/>
  <c r="O183" i="18"/>
  <c r="T71" i="17" l="1"/>
  <c r="S71" i="17" s="1"/>
  <c r="T183" i="18"/>
  <c r="S183" i="18" s="1"/>
  <c r="P70" i="17"/>
  <c r="P540" i="18"/>
  <c r="T540" i="18" s="1"/>
  <c r="O71" i="17"/>
  <c r="S180" i="18"/>
  <c r="P157" i="17" l="1"/>
  <c r="T157" i="17" s="1"/>
  <c r="T70" i="17"/>
  <c r="S70" i="17" s="1"/>
  <c r="O70" i="17"/>
  <c r="S540" i="18"/>
  <c r="P542" i="18"/>
  <c r="O540" i="18"/>
  <c r="T542" i="18" l="1"/>
  <c r="S542" i="18" s="1"/>
  <c r="P159" i="17"/>
  <c r="O157" i="17"/>
  <c r="O159" i="17" s="1"/>
  <c r="S157" i="17"/>
  <c r="S159" i="17" s="1"/>
  <c r="T159" i="17"/>
  <c r="O542" i="18"/>
  <c r="Q540" i="18"/>
  <c r="Q71" i="17"/>
  <c r="Q70" i="17" l="1"/>
  <c r="U71" i="17"/>
  <c r="Q542" i="18"/>
  <c r="U542" i="18" s="1"/>
  <c r="U540" i="18"/>
  <c r="U183" i="18"/>
  <c r="U70" i="17" l="1"/>
  <c r="Q157" i="17"/>
  <c r="U157" i="17" l="1"/>
  <c r="U159" i="17" s="1"/>
  <c r="Q159" i="17"/>
</calcChain>
</file>

<file path=xl/sharedStrings.xml><?xml version="1.0" encoding="utf-8"?>
<sst xmlns="http://schemas.openxmlformats.org/spreadsheetml/2006/main" count="1535" uniqueCount="592">
  <si>
    <t>Suma</t>
  </si>
  <si>
    <t>1.1.</t>
  </si>
  <si>
    <t>1.1.1.</t>
  </si>
  <si>
    <t>Pajamų ir pelno mokesčiai (3)</t>
  </si>
  <si>
    <t>1.1.3.</t>
  </si>
  <si>
    <t>1.1.3.1.</t>
  </si>
  <si>
    <t>Žemės mokestis</t>
  </si>
  <si>
    <t>1.1.3.2.</t>
  </si>
  <si>
    <t>Paveldimo turto mokestis</t>
  </si>
  <si>
    <t>1.1.3.3.</t>
  </si>
  <si>
    <t>Nekilnojamojo turto mokestis</t>
  </si>
  <si>
    <t>1.1.4.</t>
  </si>
  <si>
    <t>1.1.4.7.1.1.</t>
  </si>
  <si>
    <t>Valstybės rinkliavos</t>
  </si>
  <si>
    <t>1.3.4.1.1.1.</t>
  </si>
  <si>
    <t>iš jų:</t>
  </si>
  <si>
    <t>Melioracijai</t>
  </si>
  <si>
    <t>Socialinėms išmokoms ir kompensacijoms skaičiuoti ir mokėti</t>
  </si>
  <si>
    <t>1.4.</t>
  </si>
  <si>
    <t>1.4.1.</t>
  </si>
  <si>
    <t>Nuomos mokestis už valstybinę žemę ir valstybinius vidaus vandenų telkinius</t>
  </si>
  <si>
    <t>1.4.2.</t>
  </si>
  <si>
    <t>Įmokos už išlaikymą švietimo, socialinės apsaugos ir kitose įstaigose</t>
  </si>
  <si>
    <t>1.4.3.</t>
  </si>
  <si>
    <t>Pajamos iš baudų ir konfiskacijos</t>
  </si>
  <si>
    <t>Melioracija</t>
  </si>
  <si>
    <t>Eil. Nr.</t>
  </si>
  <si>
    <t>Iš viso</t>
  </si>
  <si>
    <t>Savivaldybės administracija</t>
  </si>
  <si>
    <t>Tytuvėnų seniūnija</t>
  </si>
  <si>
    <t>Tytuvėnų apylinkių seniūnija</t>
  </si>
  <si>
    <t>Užvenčio seniūnija</t>
  </si>
  <si>
    <t>Kražių seniūnija</t>
  </si>
  <si>
    <t>Kelmės krašto muziejus</t>
  </si>
  <si>
    <t>Kelmės mažasis teatras</t>
  </si>
  <si>
    <t>Kelmės kultūros centras</t>
  </si>
  <si>
    <t>Užvenčio kultūros centras</t>
  </si>
  <si>
    <t>Pakražančio kultūros centras</t>
  </si>
  <si>
    <t>Tytuvėnų kultūros centras</t>
  </si>
  <si>
    <t>Tytuvėnų gimnazija</t>
  </si>
  <si>
    <t>Iš viso:</t>
  </si>
  <si>
    <t>Kelmės apylinkių seniūnija</t>
  </si>
  <si>
    <t>Šaukėnų seniūnija</t>
  </si>
  <si>
    <t>Pakražančio seniūnija</t>
  </si>
  <si>
    <t>Liolių seniūnija</t>
  </si>
  <si>
    <t>Kukečių seniūnija</t>
  </si>
  <si>
    <t>Vaiguvos seniūnija</t>
  </si>
  <si>
    <t>Funkcinės klasifikacijos kodas</t>
  </si>
  <si>
    <t>Iš jų:</t>
  </si>
  <si>
    <t>Kelmės specialioji mokykla</t>
  </si>
  <si>
    <t>Kelmės rajono savivaldybės tarybos</t>
  </si>
  <si>
    <t>Gyventojų registro tvarkymas ir duomenų valstybės registrui teikimas</t>
  </si>
  <si>
    <t>Valstybinės kalbos vartojimo ir taisyklingumo kontrolė</t>
  </si>
  <si>
    <t>Gyvenamosios vietos deklaravimas</t>
  </si>
  <si>
    <t>Civilinės saugos organizavimas</t>
  </si>
  <si>
    <t>Priešgaisrinės saugos tarnyba</t>
  </si>
  <si>
    <t>Kelmės seniūnija</t>
  </si>
  <si>
    <t>Civilinės būklės aktų registravimas</t>
  </si>
  <si>
    <t>išlaidoms</t>
  </si>
  <si>
    <t>iš viso</t>
  </si>
  <si>
    <t>iš jų darbo užmokesčiui</t>
  </si>
  <si>
    <t>turtui įsigyti</t>
  </si>
  <si>
    <t>01.</t>
  </si>
  <si>
    <t>03.</t>
  </si>
  <si>
    <t>04.</t>
  </si>
  <si>
    <t>05.</t>
  </si>
  <si>
    <t>06.</t>
  </si>
  <si>
    <t>08.</t>
  </si>
  <si>
    <t>09.</t>
  </si>
  <si>
    <t>10.</t>
  </si>
  <si>
    <t>Visuomenės sveikatos biuras</t>
  </si>
  <si>
    <t>07.</t>
  </si>
  <si>
    <t>Kražių Motiejaus Kazimiero Sarbievijaus kultūros centras</t>
  </si>
  <si>
    <t>Elvyravos pagrindinė mokykla</t>
  </si>
  <si>
    <t>Užvenčio vaikų lopšelis-darželis</t>
  </si>
  <si>
    <t>Tytuvėnų vaikų lopšelis-darželis</t>
  </si>
  <si>
    <t>Liolių pagrindinė mokykla</t>
  </si>
  <si>
    <t>Kitos neišvardytos pajamos</t>
  </si>
  <si>
    <t>Kražių M.K.Sarbievijaus kultūros centras</t>
  </si>
  <si>
    <t xml:space="preserve">                                                                    Kelmės rajono savivaldybės tarybos</t>
  </si>
  <si>
    <t xml:space="preserve">                                                                    1 priedas</t>
  </si>
  <si>
    <t>už patalpų nuomą</t>
  </si>
  <si>
    <t>Užvenčio Šatrijos Raganos gimnazija</t>
  </si>
  <si>
    <t>Dalyvauti rengiant ir įgyvendinant darbo rinkos politikos priemones ir gyventojų užimtumo programas</t>
  </si>
  <si>
    <t>3 priedas</t>
  </si>
  <si>
    <t>Kontrolės ir audito tarnyba</t>
  </si>
  <si>
    <t>Kiti mokesčiai už valstybinius gamtos išteklius</t>
  </si>
  <si>
    <t>už prekes ir paslaugas</t>
  </si>
  <si>
    <t>Jaunimo teisių apsaugai</t>
  </si>
  <si>
    <t>Valstybinės kalbos vartojimo ir taisyklingumo kontrolei</t>
  </si>
  <si>
    <t>už išlaikymą švietimo, socialinės apsaugos ir kitose įstaigose</t>
  </si>
  <si>
    <t>Kelmės rajono savivaldybės Žemaitės viešoji biblioteka</t>
  </si>
  <si>
    <t xml:space="preserve">Socialinei paramai mokiniams </t>
  </si>
  <si>
    <t>Socialinėms paslaugoms</t>
  </si>
  <si>
    <t>Civilinės būklės aktams registruoti</t>
  </si>
  <si>
    <t>Civilinei saugai</t>
  </si>
  <si>
    <t>Priešgaisrinei saugai</t>
  </si>
  <si>
    <t>Gyvenamosios vietos deklaravimo duomenų ir gyvenamosios vietos neturinčių asmenų apskaitos dokumentams tvarkyti</t>
  </si>
  <si>
    <t>Žemės ūkio funkcijoms atlikti</t>
  </si>
  <si>
    <t>Savivaldybių mokykloms (klasėms), skirtoms šalies (regiono) mokiniams, turintiems specialiųjų ugdymo poreikių</t>
  </si>
  <si>
    <t>Šedbarų pradinė mokykla-daugiafunkcis centras</t>
  </si>
  <si>
    <t>4.1.</t>
  </si>
  <si>
    <t>2</t>
  </si>
  <si>
    <t>3</t>
  </si>
  <si>
    <t>5</t>
  </si>
  <si>
    <t>6</t>
  </si>
  <si>
    <t>Liolių socialinės globos namai</t>
  </si>
  <si>
    <t>Įstaigos pavadinimas</t>
  </si>
  <si>
    <t>7</t>
  </si>
  <si>
    <t>Visuomenės sveikatos priežiūros funkcijoms</t>
  </si>
  <si>
    <t>Kelmės „Kražantės“ progimnazija</t>
  </si>
  <si>
    <t>Kelmės lopšelis-darželis „Ąžuoliukas“</t>
  </si>
  <si>
    <t>Kelmės „Kūlverstuko“ lopšelis-darželis</t>
  </si>
  <si>
    <t>Kelmės „Aukuro“ pagrindinė mokykla</t>
  </si>
  <si>
    <t>Kelmės „Aukuro" pagrindinė mokykla</t>
  </si>
  <si>
    <t>Kelmės „Kražantės" progimnazija</t>
  </si>
  <si>
    <t>Teritorijų planavimas</t>
  </si>
  <si>
    <t>Eur</t>
  </si>
  <si>
    <t>Būsto nuomos ir išperkamosios būsto nuomos mokesčių dalies kompensacijoms</t>
  </si>
  <si>
    <t>Šaukėnų Vlado Pūtvio-Putvinskio gimnazija</t>
  </si>
  <si>
    <t>Biudžetinių lėšų</t>
  </si>
  <si>
    <t>Biudžetinių įstaigų pajamų</t>
  </si>
  <si>
    <t>Aplinkos apsaugos specialiosios programos</t>
  </si>
  <si>
    <t>5.</t>
  </si>
  <si>
    <t>5.1.</t>
  </si>
  <si>
    <t>5.2.</t>
  </si>
  <si>
    <t>5.3.</t>
  </si>
  <si>
    <t>6.</t>
  </si>
  <si>
    <t xml:space="preserve">Savarankiškosioms funkcijoms </t>
  </si>
  <si>
    <t>Iš įstaigų gautų pajamų</t>
  </si>
  <si>
    <t>Skolintos lėšos</t>
  </si>
  <si>
    <t>IŠ VISO</t>
  </si>
  <si>
    <t>1</t>
  </si>
  <si>
    <t>23=24+26</t>
  </si>
  <si>
    <t>Savivaldybės administracija, iš jų:</t>
  </si>
  <si>
    <t>Tarybos darbui organizuoti</t>
  </si>
  <si>
    <t>Paskolos ir palūkanos</t>
  </si>
  <si>
    <t>Aplinkos apsaugos  rėmimo specialioji programa</t>
  </si>
  <si>
    <t>Atliekoms tvarkyti</t>
  </si>
  <si>
    <t>Gatvėms apšviesti</t>
  </si>
  <si>
    <t xml:space="preserve">IŠ VISO PAGAL PROGRAMAS </t>
  </si>
  <si>
    <t>1 - Ekonominės aplinkos ir investicijų programa</t>
  </si>
  <si>
    <t>Turizmas ir tarptautiniai ryšiai</t>
  </si>
  <si>
    <t>Investicijų projektai, projektinė dokumentacija</t>
  </si>
  <si>
    <t>Paveldosauga</t>
  </si>
  <si>
    <t>Visuomeninių organizacijų rėmimas</t>
  </si>
  <si>
    <t>1.3.</t>
  </si>
  <si>
    <t>Liolių socialinės globos namai, iš jų:</t>
  </si>
  <si>
    <t>4=5+7</t>
  </si>
  <si>
    <t>8=9+11</t>
  </si>
  <si>
    <t>Programos /Įstaigos pavadinimas</t>
  </si>
  <si>
    <t>Sakralinių objektų finansavimas</t>
  </si>
  <si>
    <t>Smulkių ir vidutinių ūkių plėtros programa</t>
  </si>
  <si>
    <t>Smulkaus ir vidutinio verslo programa</t>
  </si>
  <si>
    <t>2 - Infrastruktūros ir gyvenamosios aplinkos programa</t>
  </si>
  <si>
    <t>Seniūnijų komunalinio ūkio plėtra</t>
  </si>
  <si>
    <t>Prekyviečių ir pirčių išlaikymas</t>
  </si>
  <si>
    <t>Daugiabučių namų rėmimo programa</t>
  </si>
  <si>
    <t>Viešųjų darbų vykdymas</t>
  </si>
  <si>
    <t>Kelmės seniūnija, iš jų:</t>
  </si>
  <si>
    <t>Kelių plėtra ir priežiūra</t>
  </si>
  <si>
    <t>Socialinio būsto plėtra</t>
  </si>
  <si>
    <t>Kelmės apylinkių seniūnija, iš jų:</t>
  </si>
  <si>
    <t>Tytuvėnų seniūnija, iš jų:</t>
  </si>
  <si>
    <t>Tytuvėnų apylinkių seniūnija, iš jų:</t>
  </si>
  <si>
    <t>Užvenčio seniūnija, iš jų:</t>
  </si>
  <si>
    <t>Šaukėnų seniūnija, iš jų:</t>
  </si>
  <si>
    <t>Kražių seniūnija, iš jų:</t>
  </si>
  <si>
    <t>Pakražančio seniūnija, iš jų:</t>
  </si>
  <si>
    <t>Liolių seniūnija, iš jų:</t>
  </si>
  <si>
    <t>Kukečių seniūnija, iš jų:</t>
  </si>
  <si>
    <t>Vaiguvos seniūnija, iš jų:</t>
  </si>
  <si>
    <t>Iš viso (2)</t>
  </si>
  <si>
    <t>Iš viso (1)</t>
  </si>
  <si>
    <t>3 - Kultūros ir sporto programa</t>
  </si>
  <si>
    <t>5.4.</t>
  </si>
  <si>
    <t>5.5.</t>
  </si>
  <si>
    <t>Sporto ir sporto klubų veiklos organizavimas ir finansavimas</t>
  </si>
  <si>
    <t>Kultūros veiklos finansavimas</t>
  </si>
  <si>
    <t>Kultūros programų finansavimas</t>
  </si>
  <si>
    <t>Literatūrinių premijų finansavimas</t>
  </si>
  <si>
    <t xml:space="preserve">Tytuvėnų kultūros centras </t>
  </si>
  <si>
    <t>Įstaigos išlaidoms</t>
  </si>
  <si>
    <t xml:space="preserve">Liolių seniūnija </t>
  </si>
  <si>
    <t>Asignavimų valdytojas</t>
  </si>
  <si>
    <t>Kelmės rajono savivaldybės kontrolės ir audito tarnybos kontrolierius</t>
  </si>
  <si>
    <t>Kelmės rajono savivaldybės administracijos direktorius</t>
  </si>
  <si>
    <t>Kelmės rajono savivaldybės administracijos Kelmės seniūnijos seniūnas</t>
  </si>
  <si>
    <t>Kelmės rajono savivaldybės administracijos Kelmės apylinkių seniūnijos seniūnas</t>
  </si>
  <si>
    <t>Kelmės rajono savivaldybės administracijos Tytuvėnų seniūnijos seniūnas</t>
  </si>
  <si>
    <t>Kelmės rajono savivaldybės administracijos Tytuvėnų apylinkių seniūnijos seniūnas</t>
  </si>
  <si>
    <t>Kelmės rajono savivaldybės administracijos Užvenčio seniūnijos seniūnas</t>
  </si>
  <si>
    <t>Kelmės rajono savivaldybės administracijos Šaukėnų seniūnijos seniūnas</t>
  </si>
  <si>
    <t>Kelmės rajono savivaldybės administracijos Kražių seniūnijos seniūnas</t>
  </si>
  <si>
    <t>Kelmės rajono savivaldybės administracijos Pakražančio seniūnijos seniūnas</t>
  </si>
  <si>
    <t>Kelmės rajono savivaldybės administracijos Liolių seniūnijos seniūnas</t>
  </si>
  <si>
    <t>Kelmės rajono savivaldybės administracijos Kukečių seniūnijos seniūnas</t>
  </si>
  <si>
    <t>Kelmės rajono savivaldybės administracijos Vaiguvos seniūnijos seniūnas</t>
  </si>
  <si>
    <t>Kelmės rajono Tytuvėnų gimnazijos direktorius</t>
  </si>
  <si>
    <t>Kelmės rajono Užvenčio Šatrijos Raganos gimnazijos direktorius</t>
  </si>
  <si>
    <t>Kelmės rajono Šaukėnų Vlado Pūtvio - Putvinskio gimnazijos direktorius</t>
  </si>
  <si>
    <t>Kelmės ,,Kražantės" progimnazijos direktorius</t>
  </si>
  <si>
    <t>Kelmės ,,Aukuro" pagrindinės mokyklos direktorius</t>
  </si>
  <si>
    <t>Kelmės rajono Elvyravos pagrindinės mokyklos direktorius</t>
  </si>
  <si>
    <t>Kelmės rajono Liolių pagrindinės mokyklos direktorius</t>
  </si>
  <si>
    <t>Kelmės specialiosios mokyklos direktorius</t>
  </si>
  <si>
    <t>Kelmės kultūros centro direktorius</t>
  </si>
  <si>
    <t>Kražių Motiejaus Kazimiero Sarbievijaus kultūros centro direktorius</t>
  </si>
  <si>
    <t>Tytuvėnų kultūros centro direktorius</t>
  </si>
  <si>
    <t>Pakražančio kultūros centro direktorius</t>
  </si>
  <si>
    <t>Užvenčio kultūros centro direktorius</t>
  </si>
  <si>
    <t>Kelmės rajono savivaldybės Žemaitės viešosios bibliotekos direktorius</t>
  </si>
  <si>
    <t>Kelmės krašto muziejaus direktorius</t>
  </si>
  <si>
    <t>Kelmės mažojo teatro vadovas</t>
  </si>
  <si>
    <t>Liolių socialinės globos namų direktorius</t>
  </si>
  <si>
    <t>Kelmės rajono savivaldybės visuomenės sveikatos biuro direktorius</t>
  </si>
  <si>
    <t>Kelmės rajono priešgaisrinės saugos tarnybos viršininkas</t>
  </si>
  <si>
    <t>12=13+15</t>
  </si>
  <si>
    <t>16=17+19</t>
  </si>
  <si>
    <t>Kelmės rajono savivaldybės kontrolės ir audito tarnyba</t>
  </si>
  <si>
    <t>Kelmės rajono savivaldybės administracija</t>
  </si>
  <si>
    <t>Kelmės rajono savivaldybės administracijos Kelmės seniūnija</t>
  </si>
  <si>
    <t>4</t>
  </si>
  <si>
    <t>Kelmės rajono savivaldybės administracijos Kelmės apylinkių seniūnija</t>
  </si>
  <si>
    <t>Kelmės rajono savivaldybės administracijos Tytuvėnų seniūnija</t>
  </si>
  <si>
    <t>Kelmės rajono savivaldybės administracijos Tytuvėnų apylinkių seniūnija</t>
  </si>
  <si>
    <t>Kelmės rajono savivaldybės administracijos Užvenčio seniūnija</t>
  </si>
  <si>
    <t>8</t>
  </si>
  <si>
    <t>Kelmės rajono savivaldybės administracijos Šaukėnų seniūnija</t>
  </si>
  <si>
    <t>9</t>
  </si>
  <si>
    <t>Kelmės rajono savivaldybės administracijos Kražių seniūnija</t>
  </si>
  <si>
    <t>10</t>
  </si>
  <si>
    <t>Kelmės rajono savivaldybės administracijos Pakražančio seniūnija</t>
  </si>
  <si>
    <t>11</t>
  </si>
  <si>
    <t>Kelmės rajono savivaldybės administracijos Liolių seniūnija</t>
  </si>
  <si>
    <t>12</t>
  </si>
  <si>
    <t>Kelmės rajono savivaldybės administracijos Kukečių seniūnija</t>
  </si>
  <si>
    <t>13</t>
  </si>
  <si>
    <t>Kelmės rajono savivaldybės administracijos Vaiguvos seniūnija</t>
  </si>
  <si>
    <t>14</t>
  </si>
  <si>
    <t>15</t>
  </si>
  <si>
    <t>16</t>
  </si>
  <si>
    <t>Kelmės rajono Tytuvėnų gimnazija</t>
  </si>
  <si>
    <t>17</t>
  </si>
  <si>
    <t>Kelmės rajono Užvenčio Šatrijos Raganos gimnazija</t>
  </si>
  <si>
    <t>18</t>
  </si>
  <si>
    <t>Kelmės rajono Šaukėnų Vlado Pūtvio - Putvinskio gimnazija</t>
  </si>
  <si>
    <t>19</t>
  </si>
  <si>
    <t>20</t>
  </si>
  <si>
    <t>21</t>
  </si>
  <si>
    <t>22</t>
  </si>
  <si>
    <t>Kelmės ,,Kražantės" progimnazija</t>
  </si>
  <si>
    <t>23</t>
  </si>
  <si>
    <t>Kelmės ,,Aukuro" pagrindinė mokykla</t>
  </si>
  <si>
    <t>25</t>
  </si>
  <si>
    <t>Kelmės rajono Elvyravos pagrindinė mokykla</t>
  </si>
  <si>
    <t>26</t>
  </si>
  <si>
    <t>Kelmės rajono Liolių pagrindinė mokykla</t>
  </si>
  <si>
    <t>27</t>
  </si>
  <si>
    <t>29</t>
  </si>
  <si>
    <t>30</t>
  </si>
  <si>
    <t>31</t>
  </si>
  <si>
    <t>Kelmės rajono Šedbarų pradinė mokykla - daugiafunkcis centras</t>
  </si>
  <si>
    <t>32</t>
  </si>
  <si>
    <t xml:space="preserve">Kelmės lopšelis - darželis ,,Ąžuoliukas" </t>
  </si>
  <si>
    <t>33</t>
  </si>
  <si>
    <t>Kelmės ,, Kūlverstuko" lopšelis - darželis</t>
  </si>
  <si>
    <t>34</t>
  </si>
  <si>
    <t>Kelmės rajono Užvenčio vaikų lopšelis - darželis</t>
  </si>
  <si>
    <t>Kelmės rajono Tytuvėnų vaikų lopšelis- darželis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</si>
  <si>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</si>
  <si>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</si>
  <si>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</si>
  <si>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</si>
  <si>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</si>
  <si>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</si>
  <si>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</si>
  <si>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</si>
  <si>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</si>
  <si>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</si>
  <si>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Kelmės rajono savivaldybės Žemaitės viešosios biblioteka</t>
  </si>
  <si>
    <t>46</t>
  </si>
  <si>
    <t>47</t>
  </si>
  <si>
    <t>48</t>
  </si>
  <si>
    <t>49</t>
  </si>
  <si>
    <t>50</t>
  </si>
  <si>
    <t>Kelmės rajono savivaldybės visuomenės sveikatos biuras</t>
  </si>
  <si>
    <t>Kelmės rajono priešgaisrinės saugos tarnyba</t>
  </si>
  <si>
    <t>IŠ VISO PAGAL ĮSTAIGAS</t>
  </si>
  <si>
    <t>Iš viso (3)</t>
  </si>
  <si>
    <t>4-Socialinių paslaugų programa</t>
  </si>
  <si>
    <t>Socialinės globos paslaugų finansavimas (globos lovos)</t>
  </si>
  <si>
    <t>Parama mokinio reikmenims</t>
  </si>
  <si>
    <t>Išlaidų, susijusių su transporto lengvatų taikymu, kompensavimas</t>
  </si>
  <si>
    <t>Nuostolingų maršrutų kompensavimas</t>
  </si>
  <si>
    <t>Studijų rėmimo programa</t>
  </si>
  <si>
    <t>Vienkartinių pašalpų mokėjimas</t>
  </si>
  <si>
    <t>Mirusiųjų asmenų pervežimo paslaugoms</t>
  </si>
  <si>
    <t>Šeimynų finansavimas</t>
  </si>
  <si>
    <t>Kitoms įstaigos išlaidoms</t>
  </si>
  <si>
    <t>Socialinės globos paslaugų asmenims su sunkia negalia finansavimas</t>
  </si>
  <si>
    <t>Nemokamas mokinių maitinimas</t>
  </si>
  <si>
    <t>Iš viso (4)</t>
  </si>
  <si>
    <t>5-Sveikos visuomenės programa</t>
  </si>
  <si>
    <t>Iš viso (5)</t>
  </si>
  <si>
    <t>Jaunimo veiklų finansavimas</t>
  </si>
  <si>
    <t>Mokinių vežiojimo paslaugų teikimas</t>
  </si>
  <si>
    <t>Ugdymo programų įgyvendinimas</t>
  </si>
  <si>
    <t>Biudžetinių įstaigų pajamų panaudojimas</t>
  </si>
  <si>
    <t>Iš viso (6)</t>
  </si>
  <si>
    <t>6-Švietimo veiklos programa</t>
  </si>
  <si>
    <t xml:space="preserve">7-Savivaldybės veiklos programa </t>
  </si>
  <si>
    <t>Savivaldybės valdymo išlaidos</t>
  </si>
  <si>
    <t>Reprezentacinės išlaidos</t>
  </si>
  <si>
    <t>Kitos išlaidos</t>
  </si>
  <si>
    <t>Administracijos direktoriaus rezervas</t>
  </si>
  <si>
    <t>Mero fondas</t>
  </si>
  <si>
    <t>Korupcijos prevencijos programa</t>
  </si>
  <si>
    <t>Programinės įrangos atnaujinimui</t>
  </si>
  <si>
    <t>Inventorizacijai</t>
  </si>
  <si>
    <t>Seniūnijų veiklos finansavimas</t>
  </si>
  <si>
    <t>Vaizdo kamerų aptarnavimas</t>
  </si>
  <si>
    <t>Iš viso (7)</t>
  </si>
  <si>
    <t>Įstaigos pavadinimas/programa</t>
  </si>
  <si>
    <t>02.</t>
  </si>
  <si>
    <t>Socialinių išmokų ir kompensacijų skaičiavimas ir mokėjimas (pašalpos)</t>
  </si>
  <si>
    <t>4 - Socialinių paslaugų programa</t>
  </si>
  <si>
    <t>5 - Sveikos visuomenės programa</t>
  </si>
  <si>
    <t>6 - Švietimo veiklos programa</t>
  </si>
  <si>
    <t xml:space="preserve">7 - Savivaldybės veiklos programa </t>
  </si>
  <si>
    <t>16=17+18</t>
  </si>
  <si>
    <t>Visuomenės sveikatos programų ir projektų finansavimas</t>
  </si>
  <si>
    <t>Kelmės rajono Šedbarų pradinės mokyklos-daugiafunkcio centro direktorius</t>
  </si>
  <si>
    <t>Kelmės lopšelio-darželio ,,Ąžuoliukas" direktorius</t>
  </si>
  <si>
    <t>Kelmės ,,Kūlverstuko" lopšelio-darželio direktorius</t>
  </si>
  <si>
    <t>Kelmės rajono Užvenčio vaikų lopšelio-darželio direktorius</t>
  </si>
  <si>
    <t>Kelmės rajono Tytuvėnų vaikų lopšelio-darželio direktorius</t>
  </si>
  <si>
    <t>Kelmės Žemaitės viešoji biblioteka</t>
  </si>
  <si>
    <t>Kelmės rajono Šaukėnų Vlado Pūtvio-Putvinskio gimnazija</t>
  </si>
  <si>
    <t>Kelmės rajono Šedbarų pradinė mokykla-daugiafunkcis centras</t>
  </si>
  <si>
    <t xml:space="preserve">Kelmės lopšelis-darželis ,,Ąžuoliukas" </t>
  </si>
  <si>
    <t>Kelmės ,, Kūlverstuko" lopšelis-darželis, iš jų:</t>
  </si>
  <si>
    <t>Kelmės rajono Užvenčio vaikų lopšelis-darželis</t>
  </si>
  <si>
    <t>Kelmės rajono Tytuvėnų vaikų lopšelis-darželis</t>
  </si>
  <si>
    <t>Ugdymosi sąlygų sudarymo ir neformalaus švietimo įgyvendinimas</t>
  </si>
  <si>
    <t>Kelmės rajono Tytuvėnų gimnazija, iš jų:</t>
  </si>
  <si>
    <t>Kelmės rajono Užvenčio Šatrijos Raganos gimnazija, iš jų:</t>
  </si>
  <si>
    <t>Kelmės ,,Kražantės" progimnazija, iš jų:</t>
  </si>
  <si>
    <t>Kelmės ,,Aukuro" pagrindinė mokykla, iš jų:</t>
  </si>
  <si>
    <t>Kelmės rajono Elvyravos pagrindinė mokykla, iš jų:</t>
  </si>
  <si>
    <t>Kelmės rajono Liolių pagrindinė mokykla, iš jų:</t>
  </si>
  <si>
    <t>Kelmės specialioji mokykla, iš jų:</t>
  </si>
  <si>
    <t>Kelmės rajono Tytuvėnų vaikų lopšelis-darželis, iš jų:</t>
  </si>
  <si>
    <t>Kelmės rajono Užvenčio vaikų lopšelis-darželis, iš jų:</t>
  </si>
  <si>
    <t>Kelmės ,,Kūlverstuko" lopšelis-darželis, iš jų:</t>
  </si>
  <si>
    <t>Kelmės lopšelis-darželis ,,Ąžuoliukas" , iš jų:</t>
  </si>
  <si>
    <t>Kelmės rajono Šedbarų pradinė mokykla-daugiafunkcis centras, iš jų:</t>
  </si>
  <si>
    <t>Kelmės rajono Šaukėnų Vlado Pūtvio-Putvinskio gimnazija, iš jų:</t>
  </si>
  <si>
    <t xml:space="preserve">                   Kelmės rajono savivaldybės tarybos</t>
  </si>
  <si>
    <t xml:space="preserve">                   2 priedas</t>
  </si>
  <si>
    <t>Šaukėnų kultūros ir amatų centras</t>
  </si>
  <si>
    <t>Pakražančio gimnazija</t>
  </si>
  <si>
    <t>Vaiguvos Vlado Šimkaus pagrindinė mokykla</t>
  </si>
  <si>
    <t>Socialinių paslaugų centras</t>
  </si>
  <si>
    <t>4.1.1.1.</t>
  </si>
  <si>
    <t>Kelmės rajono Vaiguvos Vlado Šimkaus pagrindinės mokyklos direktorius</t>
  </si>
  <si>
    <t>Šaukėnų kultūros ir amatų centro direktorius</t>
  </si>
  <si>
    <t>Kelmės rajono socialinių paslaugų centro direktorius</t>
  </si>
  <si>
    <t>Kelmės rajono Pakražančio gimnazijos direktorius</t>
  </si>
  <si>
    <t>Kelmės rajono Pakražančio gimnazija, iš jų:</t>
  </si>
  <si>
    <t>Kelmės rajono Vaiguvos Vlado Šimkaus pagrindinė mokykla</t>
  </si>
  <si>
    <t xml:space="preserve">Kelmės rajono Pakražančio gimnazija </t>
  </si>
  <si>
    <t>Pajamų  klasifikacijos kodas</t>
  </si>
  <si>
    <t>Pavadinimas</t>
  </si>
  <si>
    <t>iš jų: finansinių įsipareigojimų vykdymas (paskolų grąžinimas)</t>
  </si>
  <si>
    <t>Kelmės rajono Vaiguvos Vlado Šimkaus pagrindinė mokykla, iš jų:</t>
  </si>
  <si>
    <t>Kelmės rajono Pakražančio gimnazija</t>
  </si>
  <si>
    <t>Šaukėnų kultūros ir amatų  centras</t>
  </si>
  <si>
    <t>Kelmės rajono socialinių paslaugų centras</t>
  </si>
  <si>
    <t>Socialinių paslaugų centras, iš jų:</t>
  </si>
  <si>
    <t>Kitos socialinės paramos išmokos</t>
  </si>
  <si>
    <t>Be tėvų globos likusių vaikų socialinė globa</t>
  </si>
  <si>
    <t xml:space="preserve">Vietinės rinkliavos </t>
  </si>
  <si>
    <t>Duomenims Suteiktos valstybės pagalbos registrui teikti</t>
  </si>
  <si>
    <t>Gyventojų registrui tvarkyti ir duomenims valstybės registrui teikti</t>
  </si>
  <si>
    <t>Savivaldybėms priskirtiems archyviniams dokumentams tvarkyti</t>
  </si>
  <si>
    <t>Valstybės garantuojamai pirminei teisinei pagalbai teikti</t>
  </si>
  <si>
    <t>Dalyvauti rengiant ir vykdant mobilizaciją</t>
  </si>
  <si>
    <t>Neveiksnių asmenų būklės peržiūrėjimui užtikrinti</t>
  </si>
  <si>
    <t>Neformaliajam vaikų švietimui</t>
  </si>
  <si>
    <t>Praėjusių metų lėšų likutis išlaidoms dengti (37+38+39+40+41)</t>
  </si>
  <si>
    <t>Pajamos su praėjusių metų lėšų likučiu ir paskolų lėšomis (35+36+42)</t>
  </si>
  <si>
    <t>Kelmės Algirdo Lipeikos menų mokykla</t>
  </si>
  <si>
    <t>Kelmės Algirdo Lipeikos menų mokykla, iš jų:</t>
  </si>
  <si>
    <t>Kražių Žygimanto Liauksmino gimnazija</t>
  </si>
  <si>
    <t>Kelmės rajono Kražių Žygimanto Liauksmino gimnazijos direktorius</t>
  </si>
  <si>
    <t>Kelmės Algirdo Lipeikos menų mokyklos direktorius</t>
  </si>
  <si>
    <t>Kelmės rajono Kražių Žygimanto Liauksmino gimnazija, iš jų:</t>
  </si>
  <si>
    <t>Kelmės rajono Kražių Žygimanto Liauksmino gimnazija</t>
  </si>
  <si>
    <t>Kelmės Jono Graičiūno gimnazijos direktorius</t>
  </si>
  <si>
    <t>Kelmės Jono Graičiūno gimnazija</t>
  </si>
  <si>
    <t>Kelmės Jono Graičiūno gimnazija, iš jų:</t>
  </si>
  <si>
    <t xml:space="preserve">Europos Sąjungos ir kitos tarptautinės finansinės paramos </t>
  </si>
  <si>
    <t>Valstybės biudžeto projektams bendrai finansuoti</t>
  </si>
  <si>
    <t>Projektams finansuoti</t>
  </si>
  <si>
    <t>Teritorijų planavimas (LRV nutarimu nustatyta tvarka)</t>
  </si>
  <si>
    <t>Socialinio būsto plėtra (rajono tarybos nustyta tvarka)</t>
  </si>
  <si>
    <t>Suaugusiųjų neformaliojo švietimo or tęstinio mokymosi organizavimas</t>
  </si>
  <si>
    <t>Prevencinėms programoms</t>
  </si>
  <si>
    <t>Gyvūnų globos centro išlaidos</t>
  </si>
  <si>
    <t>Kražių M. K. Sarbievijaus kultūros centras</t>
  </si>
  <si>
    <t>Kelmės rajono vaiko ir šeimos gerovės centro direktorius</t>
  </si>
  <si>
    <t>Vaiko ir šeimos gerovės centras</t>
  </si>
  <si>
    <t xml:space="preserve">Paskolų lėšos </t>
  </si>
  <si>
    <t>Biudžetinių įstaigų buhalterinės apskaitos centras</t>
  </si>
  <si>
    <t>Turto pajamos (19+20)</t>
  </si>
  <si>
    <t>Mokesčiai už valstybinius gamtos išteklius (21+22)</t>
  </si>
  <si>
    <t>Pajamos už prekes ir paslaugas (24+25+26)</t>
  </si>
  <si>
    <t>Gabių ir talentingų vaikų specialiųjų ugdymosi poreikių tenkinimas</t>
  </si>
  <si>
    <t>Aplinkos apsaugos  rėmimo specialioji programa (UAB „Kelmės vanduo“ kapitalui didinti)</t>
  </si>
  <si>
    <t>Erdvinių duomenų rinkinio tvarkymo funkcijai atlikti</t>
  </si>
  <si>
    <t>ugdymo procesui organizuoti ir valdyti</t>
  </si>
  <si>
    <t>švietimo pagalbai mokyklose ir pedagoginę psichologinę pagalbą teikiančiose įstaigose</t>
  </si>
  <si>
    <t>formalųjį švietimą papildančio ugdymo programoms finansuoti</t>
  </si>
  <si>
    <t>kitos</t>
  </si>
  <si>
    <t xml:space="preserve">Mokykloms skiriamos mokymo lėšos </t>
  </si>
  <si>
    <t>Savivaldybėms skiriamos mokymo lėšos</t>
  </si>
  <si>
    <t>ugdymo planui įgyvendinti ir kitoms ugdymo reikmėms</t>
  </si>
  <si>
    <t>Mokymo lėšos</t>
  </si>
  <si>
    <t xml:space="preserve">VALSTYBĖS BIUDŽETO SPECIALIOS TIKSLINĖS DOTACIJOS MOKYMO LĖŠŲ PASKIRSTYMAS </t>
  </si>
  <si>
    <t>Socialinėms paslaugoms (šeimų socialinei priežiūrai)</t>
  </si>
  <si>
    <t>Socialinių išmokų ir kompensacijų skaičiavimas ir mokėjimas (kompensacijos)</t>
  </si>
  <si>
    <t>Socialinėms programoms</t>
  </si>
  <si>
    <t>Neformaliajam vaikų švietimui (VšĮ Kelmės sporto centras)</t>
  </si>
  <si>
    <t>Kelmės rajono biudžetinių įstaigų buhalterinės apskaitos centro direktorius</t>
  </si>
  <si>
    <t>1.4.1.5.1.1.</t>
  </si>
  <si>
    <t>1.4.1.5.1.2.</t>
  </si>
  <si>
    <t>1.4.1.5.1.</t>
  </si>
  <si>
    <t>1.4.4.</t>
  </si>
  <si>
    <t>1.1.1.1.</t>
  </si>
  <si>
    <t>Gyventojų pajamų mokestis</t>
  </si>
  <si>
    <t>Mokesčiai už aplinkos teršimą</t>
  </si>
  <si>
    <t>Valstybinėms (valstybės perduotoms savivaldybėms) funkcijoms atlikti:</t>
  </si>
  <si>
    <t>Turto mokesčiai (5+6+7)</t>
  </si>
  <si>
    <t>Prekių ir paslaugų mokesčiai (9)</t>
  </si>
  <si>
    <t>Kita tikslinė dotacija</t>
  </si>
  <si>
    <t>1.3.4.1.1.4.; 1.3.4.2.1.4.</t>
  </si>
  <si>
    <t xml:space="preserve">Kitos dotacijos </t>
  </si>
  <si>
    <t>1.4.1.4.</t>
  </si>
  <si>
    <t>Mokesčiai už medžiojamųjų gyvūnų išteklius</t>
  </si>
  <si>
    <t>Biudžetinių įstaigų pajamos už prekes ir paslaugas</t>
  </si>
  <si>
    <t>Pajamos už ilgalaikio ir trumpalaikio materialiojo turto nuomą</t>
  </si>
  <si>
    <t>1.4.2.1.1.1.</t>
  </si>
  <si>
    <t>1.4.2.1.2.1.</t>
  </si>
  <si>
    <t>1.4.2.1.4.1.</t>
  </si>
  <si>
    <t>1.4.2.1.6.</t>
  </si>
  <si>
    <t>1.4.2.1.6.1.</t>
  </si>
  <si>
    <t>1.4.2.1.6.2.</t>
  </si>
  <si>
    <t>Žemės realizavimo pajamos</t>
  </si>
  <si>
    <t>Kelių programų lėšos</t>
  </si>
  <si>
    <t>1.3.4.1.1.5.; 1.3.4.2.1.1.; 1.3.4.2.1.5.</t>
  </si>
  <si>
    <t>Specialioji tikslinė dotacija (12+13+14)</t>
  </si>
  <si>
    <t>Dotacijos (11+15+16)</t>
  </si>
  <si>
    <t>Rinkliavos (28+29)</t>
  </si>
  <si>
    <t>Kitos pajamos (18+23+27+30+31)</t>
  </si>
  <si>
    <t>Materialiojo ir nematerialiojo turto realizavimo pajamos (33+34)</t>
  </si>
  <si>
    <t>Mokesčiai (2+4+8)</t>
  </si>
  <si>
    <t>Visi mokesčiai, dotacijos ir pajamos (1+10+17+32)</t>
  </si>
  <si>
    <t>Tarpinstitucinio bendradarbiavimo koordinatorių pareigybėms išlaikyti</t>
  </si>
  <si>
    <t>Kito ilgalaikio turto realizavimo pajamos</t>
  </si>
  <si>
    <t>4.1.1.2. - 4.1.1.5.</t>
  </si>
  <si>
    <t>Neįgaliųjų reabilitacijos programoms, būstui pritaikyti</t>
  </si>
  <si>
    <t>Vandentiekio ir nuotekų tinklų plėtra</t>
  </si>
  <si>
    <t>Vandens gerinimo įrenginių statyba fluoridų šalinimui (UAB „Kelmės vanduo“ kapitalui didinti)</t>
  </si>
  <si>
    <t>24</t>
  </si>
  <si>
    <t>28</t>
  </si>
  <si>
    <t>35</t>
  </si>
  <si>
    <t>Kelmės kultūros centras, iš jų:</t>
  </si>
  <si>
    <t>IŠ VISO ASIGNAVIMŲ (97-98)</t>
  </si>
  <si>
    <t>KELMĖS RAJONO SAVIVALDYBĖS 2021 METŲ BIUDŽETO PAJAMOS</t>
  </si>
  <si>
    <t>Viešosioms bibliotekoms dokumentams įsigyti</t>
  </si>
  <si>
    <t>KELMĖS RAJONO SAVIVALDYBĖS BIUDŽETINIŲ ĮSTAIGŲ PAJAMOS UŽ PREKES IR PASLAUGAS 2021 METAIS</t>
  </si>
  <si>
    <t xml:space="preserve">Savivaldybių kultūros ir meno darbuotojų darbo užmokesčiui padidinti </t>
  </si>
  <si>
    <t>Kelmės švietimo pagalbos tarnyba</t>
  </si>
  <si>
    <t>2020-12-31 lėšų likučiai</t>
  </si>
  <si>
    <t>Kelmės švietimo pagalbos tarnyba, iš jų:</t>
  </si>
  <si>
    <t>Archyvinių dokumentų tvarkymas</t>
  </si>
  <si>
    <t>Pirminė teisinė pagalba</t>
  </si>
  <si>
    <t>Duomenų teikimas Valstybės suteiktos pagalbos registrui</t>
  </si>
  <si>
    <t>Žemės ūkio funkcijoms vykdyti</t>
  </si>
  <si>
    <t xml:space="preserve">Kultūros ir meno darbuotojų darbo užmokesčiui padidinti </t>
  </si>
  <si>
    <t>Skaitmeninio ugdymo plėtrai</t>
  </si>
  <si>
    <t>Kelmės švietimo pagalbos tarnybos direktorius</t>
  </si>
  <si>
    <t xml:space="preserve">Dotacija savivaldybėms iš Europos Sąjungos, kitos tarptautinės finansinės paramos ir bendrojo finansavimo lėšos </t>
  </si>
  <si>
    <t>Neskirstomas praėjusių metų lėšų likutis</t>
  </si>
  <si>
    <t>Fotovoltinės elektrinės įrengimas Kražių Motiejaus Kazimiero Sarbievijaus kultūros centro teritorijoje</t>
  </si>
  <si>
    <t>Kelių Nr. Kr-82 „Kražių mstl. M. K. Sarbievijaus g.“ ir Kr-93 „Kražių mstl. Žemosios g.“ rekonstravimas</t>
  </si>
  <si>
    <t>Vandentiekio ir nuotekų tinklų plėtra bei inventorizavimas Kelmės rajone (UAB „Kelmės vanduo“ kapitalui didinti)</t>
  </si>
  <si>
    <t>Vandentiekio ir nuotekų tinklų plėtra bei inventorizavimas Kelmės rajone (UAB „Kelmės vanduo“ kapitalui didinti, 2020-12-31 likutis)</t>
  </si>
  <si>
    <t>Kelmės apylinkių seniūnijos vandentvarkos infrastruktūros gerinimas - II etapas (2020-12-31 likutis)</t>
  </si>
  <si>
    <t>Fotovoltinės elektrinės įrengimas ant VšĮ Kelmės sporto centro stogo  (2020-12-31 likutis)</t>
  </si>
  <si>
    <t>Fotovoltinės elektrinės įrengimas ant Kelmės „Kražantės“ progimnazijos stogo (2020-12-31 likutis)</t>
  </si>
  <si>
    <t>Kelmės „Aukuro“ pagrindinės mokyklos pastato vidaus patalpų remontas (2020-12-31 likutis)</t>
  </si>
  <si>
    <t>Savivaldybes jungiančios turizmo informacinės infrastruktūros plėtrą Šiaulių regione (ES)</t>
  </si>
  <si>
    <t>Kelmės dvaro ansamblio parko sutvarkymas ir pritaikymas visuomenės poreikiams (ES, 2020-12-31 likutis)</t>
  </si>
  <si>
    <t>Kelmės dvaro ansamblio parko sutvarkymas ir pritaikymas visuomenės poreikiams (ES)</t>
  </si>
  <si>
    <t>Paverpenio MSNA ir valstybinių melioracijos sistemų bei statinių rekonstravimas (ES)</t>
  </si>
  <si>
    <t>Paverpenio MSNA ir valstybinių melioracijos sistemų bei statinių rekonstravimas (VB)</t>
  </si>
  <si>
    <t>Nirplių MSNA ir valstybinių melioracijos sistemų bei statinių rekonstravimas (ES)</t>
  </si>
  <si>
    <t>Nirplių MSNA ir valstybinių melioracijos sistemų bei statinių rekonstravimas (VB)</t>
  </si>
  <si>
    <t>Kelmės miesto Tūkstantmečio parko sutvarkymas (ES)</t>
  </si>
  <si>
    <t>Kelmės miesto Tūkstantmečio parko sutvarkymas (ES, 2020-12-31 likutis)</t>
  </si>
  <si>
    <t>Tytuvėnų miesto viešųjų erdvių sutvarkymas ir pritaikymas visuomenės poreikiams (ES)</t>
  </si>
  <si>
    <t>Tytuvėnų miesto viešųjų erdvių sutvarkymas ir pritaikymas visuomenės poreikiams (VB)</t>
  </si>
  <si>
    <t>Tytuvėnų miesto viešųjų erdvių sutvarkymas ir pritaikymas visuomenės poreikiams (ES, 2020-12-31 likutis)</t>
  </si>
  <si>
    <t>Tytuvėnų miesto viešųjų erdvių sutvarkymas ir pritaikymas visuomenės poreikiams (VB, 2020-12-31 likutis)</t>
  </si>
  <si>
    <t>Kelmės r. vandentvarkos infrastruktūros gerinimas (infrastruktūros plėtra LRV nutarimu nustatyta tvarka, UAB „Kelmės vanduo“ kapitalui didinti, 2020-12-31 likutis)</t>
  </si>
  <si>
    <t>Fotovoltinės elektrinės įrengimas ant VšĮ Kelmės sporto centro stogo  (VB)</t>
  </si>
  <si>
    <t>Kelmės apylinkių seniūnijos vandentvarkos infrastruktūros gerinimas - II etapas (ES)</t>
  </si>
  <si>
    <t>Kelio Nr. VA-37 „Vaiguvos k. Kaštonų g." kapitalinis remontas (ES)</t>
  </si>
  <si>
    <t>Kelio Nr. VA-37 „Vaiguvos k. Kaštonų g." kapitalinis remontas (VB)</t>
  </si>
  <si>
    <t>Kelio Nr. VA-37 „Vaiguvos k. Kaštonų g." kapitalinis remontas (ES, 2020-12-31 likutis)</t>
  </si>
  <si>
    <t>Kelio Nr. VA-37 „Vaiguvos k. Kaštonų g." kapitalinis remontas (VB, 2020-12-31 likutis)</t>
  </si>
  <si>
    <t>Parama maisto produktais (ES)</t>
  </si>
  <si>
    <t>Parama maisto produktais (VB)</t>
  </si>
  <si>
    <t>Parama maisto produktais (ES, 2020-12-31 likutis)</t>
  </si>
  <si>
    <t>Parama maisto produktais (VB, 2020-12-31 likutis)</t>
  </si>
  <si>
    <t>Kompleksinės paslaugos šeimai Kelmės rajone (ES)</t>
  </si>
  <si>
    <t>Kompleksinės paslaugos šeimai Kelmės rajone (ES, 2020-12-31 likutis)</t>
  </si>
  <si>
    <t>Bendruomeninių vaikų globos namų ir vaikų dienos centrų tinklo plėtra (ES)</t>
  </si>
  <si>
    <t>Bendruomeninių vaikų globos namų ir vaikų dienos centrų tinklo plėtra (ES, 2020-12-31 likutis)</t>
  </si>
  <si>
    <t>Pirminės sveikatos priežiūros paslaugų kokybės gerinimas ir prieinamumo didinimas Kelmės rajone (ES)</t>
  </si>
  <si>
    <t>Pirminės sveikatos priežiūros paslaugų kokybės gerinimas ir prieinamumo didinimas Kelmės rajone (VB)</t>
  </si>
  <si>
    <t>Pirminės sveikatos priežiūros paslaugų kokybės gerinimas ir prieinamumo didinimas Kelmės rajone (ES, 2020-12-31 likutis)</t>
  </si>
  <si>
    <t>Pirminės sveikatos priežiūros paslaugų kokybės gerinimas ir prieinamumo didinimas Kelmės rajone (VB, 2020-12-31 likutis)</t>
  </si>
  <si>
    <t xml:space="preserve">Neformaliajam vaikų švietimui </t>
  </si>
  <si>
    <t>Kelmės „Ąžuoliukas" lopšelio-darželio modernizacija (ES)</t>
  </si>
  <si>
    <t>Kelmės „Ąžuoliukas" lopšelio-darželio modernizacija (VB)</t>
  </si>
  <si>
    <t>Kelmės „Ąžuoliukas" lopšelio-darželio modernizacija (ES, 2020-12-31 likutis)</t>
  </si>
  <si>
    <t>Kelmės „Ąžuoliukas" lopšelio-darželio modernizacija (VB, 2020-12-31 likutis)</t>
  </si>
  <si>
    <t>Kelmės Algirdo Lipeikos meno mokyklos Choreografijos skyriaus modernizavimas (ES)</t>
  </si>
  <si>
    <t>Kelmės Algirdo Lipeikos meno mokyklos Choreografijos skyriaus modernizavimas (ES, 2020-12-31 likutis)</t>
  </si>
  <si>
    <t>Neformaliajam vaikų švietimui (VšĮ Kelmės sporto centras - dalininko įnašui)</t>
  </si>
  <si>
    <t>Mokinių  ugdymo(si) pasiekimų gerinimas diegiant kokybės krepšelį (ES)</t>
  </si>
  <si>
    <t>Gyventojų sveikatos stiprinimas (ES)</t>
  </si>
  <si>
    <t>Gyventojų sveikatos stiprinimas (ES, 2020-12-31 likutis)</t>
  </si>
  <si>
    <t>Gyventojų sveikatos stiprinimas (VB)</t>
  </si>
  <si>
    <t>Gyventojų sveikatos stiprinimas (VB, 2020-12-31 likutis)</t>
  </si>
  <si>
    <t>Fotovoltinės elektrinės įrengimas ant Kelmės „Kražantės“ progimnazijos stogo (VB)</t>
  </si>
  <si>
    <t>Fotovoltinės elektrinės įrengimas ant Kražių Žygimanto Liauksmino gimnazijos stogo (VB)</t>
  </si>
  <si>
    <t>Integralios pagalbos į namus plėtra Kelmės rajone (ES)</t>
  </si>
  <si>
    <t>Integralios pagalbos į namus plėtra Kelmės rajone (ES, 2020-12-31 likutis)</t>
  </si>
  <si>
    <t>Ugdymo programų įgyvendinimas (VšĮ „Vedika“)</t>
  </si>
  <si>
    <t>Paskolos (2020-12-31 likutis)</t>
  </si>
  <si>
    <t>Viešųjų darbų vykdymas (modeliui įgyvendinti)</t>
  </si>
  <si>
    <t>Fotovoltinės elektrinės įrengimas ant Kražių Žygimanto Liauksmino gimnazijos stogo (VB, 2020-12-31 likutis)</t>
  </si>
  <si>
    <t>Konsultacijos mokiniams, patiriantiems mokymosi sunkumų, finansuoti</t>
  </si>
  <si>
    <t>Savivaldybės administracija (VšĮ vaikų ugdymo centras „Vedika“)</t>
  </si>
  <si>
    <t>Savivaldybės administracija (VšĮ Kelmės sporto centras)</t>
  </si>
  <si>
    <t>4 priedas</t>
  </si>
  <si>
    <t>Kelių inventorizacijai</t>
  </si>
  <si>
    <t>Kelmės miesto sporto aikštyno atnaujinimas ir modernizavimas (dalininko įnašo didinimas VšĮ Kelmės sporto centrui)</t>
  </si>
  <si>
    <t xml:space="preserve"> Garantijos būsto nuomininkams (2020-12-31 lėšų likutis)</t>
  </si>
  <si>
    <t>Maisto virtuvės atliekų apdorojimo infrastruktūros sukūrimas Šiaulių regione (VšĮ ŠRATC)</t>
  </si>
  <si>
    <t>Administravimo išlaidos</t>
  </si>
  <si>
    <t>Sakralinis turizmas</t>
  </si>
  <si>
    <t>Garantijos būsto nuomininkams (2020-12-31 lėšų likutis)</t>
  </si>
  <si>
    <t>Kitoms paslaugoms</t>
  </si>
  <si>
    <t>Ugniagesių komandos patalpų įrengimas Junkilų k.</t>
  </si>
  <si>
    <t>Priešgaisrinei aikštelei įrengti Gailių k.</t>
  </si>
  <si>
    <t>Tytuvėnų atliekų priėmimo aikštelės rekonstrukcja (vietinės rinkliavos, VšĮ ŠRATC)</t>
  </si>
  <si>
    <t>Atliekų surinkimas ir tvarkymas (vietinės rinkliavos)</t>
  </si>
  <si>
    <t>Kelmės rajono atsinaujinančių išteklių energijos naudojimo plėtros veiksmų planas</t>
  </si>
  <si>
    <t>VšĮ Kelmės PSPC DOTS išlaidoms kompensuoti</t>
  </si>
  <si>
    <t>Sveikatos priežiūros specialistų transporto išlaidoms kompensuoti</t>
  </si>
  <si>
    <t>Mokinių  ugdymo(si) pasiekimų gerinimas diegiant kokybės krepšelį</t>
  </si>
  <si>
    <t>Aplinkos apsaugos  rėmimo specialioji programa (Tytuvėnų atliekų priėmimo aikštelės rekonstrukcja, VšĮ ŠRATC)</t>
  </si>
  <si>
    <t>Aplinkos apsaugos  rėmimo specialioji programa (Tytuvėnų atliekų priėmimo aikštelės rekonstrukcja, VšĮ ŠRATC, 2020-12-31 lėšų likutis)</t>
  </si>
  <si>
    <t>Aplinkos apsaugos  rėmimo specialioji programa (2020-12-31 lėšų likutis)</t>
  </si>
  <si>
    <t>Atliekų surinkimas ir tvarkymas (vietinės rinkliavos, 2020-12-31 lėšų likutis)</t>
  </si>
  <si>
    <t>KELMĖS RAJONO SAVIVALDYBĖS 2021 METŲ ASIGNAVIMAI PAGAL ĮSTAIGAS</t>
  </si>
  <si>
    <t>5 priedas</t>
  </si>
  <si>
    <t>20=21+23</t>
  </si>
  <si>
    <t>IŠ VISO ASIGNAVIMŲ (48-49)</t>
  </si>
  <si>
    <t>Specialiosios tikslinės dotacijos, ES ir kitos tarptautinės paramos lėšos</t>
  </si>
  <si>
    <t>KELMĖS RAJONO SAVIVALDYBĖS 2021 METŲ ASIGNAVIMŲ VALDYTOJŲ SĄRAŠAS</t>
  </si>
  <si>
    <t>6 priedas</t>
  </si>
  <si>
    <t>Socialinio būsto plėtra (rajono tarybos nustyta tvarka, 2020-12-31 lėšų likutis)</t>
  </si>
  <si>
    <t>KELMĖS RAJONO SAVIVALDYBĖS 2021 METŲ ASIGNAVIMAI PAGAL PROGRAMAS</t>
  </si>
  <si>
    <t xml:space="preserve">                                                                    2021 m. vasario 18 d. sprendimo Nr.T-19</t>
  </si>
  <si>
    <t xml:space="preserve">                   2021 m. vasario 18 d. sprendimo Nr.T-19</t>
  </si>
  <si>
    <t>2021 m. vasario 18 d. sprendimo Nr. T-19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</si>
</sst>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;;"/>
    <numFmt numFmtId="166" formatCode="0.00;;"/>
    <numFmt numFmtId="167" formatCode="#,##0.0"/>
    <numFmt numFmtId="168" formatCode="#,##0.000"/>
  </numFmts>
  <fonts count="27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sz val="7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10"/>
      <name val="Times New Roman Baltic"/>
      <charset val="186"/>
    </font>
    <font>
      <b/>
      <sz val="10"/>
      <color theme="1"/>
      <name val="Times New Roman"/>
      <family val="1"/>
      <charset val="186"/>
    </font>
    <font>
      <sz val="8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4" fillId="0" borderId="0"/>
    <xf numFmtId="0" fontId="26" fillId="6" borderId="72">
      <alignment horizontal="right" vertical="center" wrapText="1"/>
    </xf>
  </cellStyleXfs>
  <cellXfs count="52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64" fontId="0" fillId="0" borderId="0" xfId="0" applyNumberFormat="1"/>
    <xf numFmtId="0" fontId="2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3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164" fontId="0" fillId="0" borderId="5" xfId="0" applyNumberFormat="1" applyBorder="1"/>
    <xf numFmtId="0" fontId="0" fillId="0" borderId="5" xfId="0" applyBorder="1"/>
    <xf numFmtId="0" fontId="3" fillId="0" borderId="1" xfId="0" applyFont="1" applyFill="1" applyBorder="1" applyAlignment="1">
      <alignment wrapText="1"/>
    </xf>
    <xf numFmtId="0" fontId="0" fillId="0" borderId="0" xfId="0" applyFill="1"/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64" fontId="0" fillId="0" borderId="0" xfId="0" applyNumberFormat="1" applyFill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0" fillId="0" borderId="5" xfId="0" applyNumberFormat="1" applyFill="1" applyBorder="1"/>
    <xf numFmtId="0" fontId="0" fillId="0" borderId="4" xfId="0" applyBorder="1" applyAlignment="1">
      <alignment horizontal="center"/>
    </xf>
    <xf numFmtId="0" fontId="10" fillId="0" borderId="1" xfId="0" applyFont="1" applyBorder="1"/>
    <xf numFmtId="0" fontId="2" fillId="0" borderId="1" xfId="0" applyFont="1" applyFill="1" applyBorder="1" applyAlignment="1">
      <alignment wrapText="1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0" fillId="0" borderId="1" xfId="0" applyNumberFormat="1" applyFill="1" applyBorder="1"/>
    <xf numFmtId="3" fontId="0" fillId="0" borderId="1" xfId="0" applyNumberFormat="1" applyBorder="1"/>
    <xf numFmtId="3" fontId="3" fillId="0" borderId="1" xfId="0" applyNumberFormat="1" applyFont="1" applyBorder="1"/>
    <xf numFmtId="3" fontId="4" fillId="0" borderId="1" xfId="0" applyNumberFormat="1" applyFont="1" applyBorder="1"/>
    <xf numFmtId="3" fontId="0" fillId="0" borderId="0" xfId="0" applyNumberFormat="1"/>
    <xf numFmtId="0" fontId="8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left" vertical="top"/>
    </xf>
    <xf numFmtId="1" fontId="12" fillId="0" borderId="1" xfId="0" applyNumberFormat="1" applyFont="1" applyBorder="1" applyAlignment="1">
      <alignment horizontal="left" vertical="top"/>
    </xf>
    <xf numFmtId="1" fontId="12" fillId="0" borderId="1" xfId="0" applyNumberFormat="1" applyFont="1" applyBorder="1" applyAlignment="1">
      <alignment horizontal="left" vertical="top" wrapText="1"/>
    </xf>
    <xf numFmtId="1" fontId="11" fillId="0" borderId="1" xfId="0" applyNumberFormat="1" applyFont="1" applyBorder="1" applyAlignment="1"/>
    <xf numFmtId="1" fontId="11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4" fillId="0" borderId="16" xfId="1" applyFill="1" applyBorder="1" applyAlignment="1">
      <alignment wrapText="1"/>
    </xf>
    <xf numFmtId="3" fontId="4" fillId="0" borderId="4" xfId="1" applyNumberFormat="1" applyFont="1" applyFill="1" applyBorder="1"/>
    <xf numFmtId="3" fontId="4" fillId="0" borderId="1" xfId="1" applyNumberFormat="1" applyFont="1" applyFill="1" applyBorder="1"/>
    <xf numFmtId="0" fontId="4" fillId="0" borderId="4" xfId="1" applyFont="1" applyFill="1" applyBorder="1" applyAlignment="1">
      <alignment wrapText="1"/>
    </xf>
    <xf numFmtId="49" fontId="8" fillId="0" borderId="0" xfId="0" applyNumberFormat="1" applyFont="1" applyFill="1"/>
    <xf numFmtId="0" fontId="8" fillId="0" borderId="0" xfId="0" applyFont="1" applyFill="1"/>
    <xf numFmtId="0" fontId="13" fillId="0" borderId="0" xfId="0" applyFont="1" applyFill="1"/>
    <xf numFmtId="164" fontId="8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textRotation="90" wrapText="1"/>
    </xf>
    <xf numFmtId="49" fontId="16" fillId="0" borderId="17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8" fillId="0" borderId="0" xfId="0" applyFont="1" applyFill="1" applyAlignment="1">
      <alignment vertical="center"/>
    </xf>
    <xf numFmtId="49" fontId="8" fillId="0" borderId="8" xfId="0" applyNumberFormat="1" applyFont="1" applyFill="1" applyBorder="1" applyAlignment="1">
      <alignment horizontal="right"/>
    </xf>
    <xf numFmtId="0" fontId="19" fillId="0" borderId="0" xfId="0" applyFont="1" applyFill="1"/>
    <xf numFmtId="49" fontId="8" fillId="0" borderId="25" xfId="0" applyNumberFormat="1" applyFont="1" applyFill="1" applyBorder="1" applyAlignment="1">
      <alignment horizontal="right" vertical="top"/>
    </xf>
    <xf numFmtId="49" fontId="8" fillId="0" borderId="31" xfId="0" applyNumberFormat="1" applyFont="1" applyFill="1" applyBorder="1" applyAlignment="1">
      <alignment horizontal="right" vertical="top"/>
    </xf>
    <xf numFmtId="49" fontId="8" fillId="0" borderId="31" xfId="0" applyNumberFormat="1" applyFont="1" applyFill="1" applyBorder="1" applyAlignment="1">
      <alignment horizontal="right"/>
    </xf>
    <xf numFmtId="0" fontId="8" fillId="0" borderId="0" xfId="0" applyFont="1"/>
    <xf numFmtId="0" fontId="8" fillId="0" borderId="5" xfId="0" applyFont="1" applyBorder="1"/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wrapText="1"/>
    </xf>
    <xf numFmtId="1" fontId="8" fillId="0" borderId="0" xfId="0" applyNumberFormat="1" applyFont="1" applyFill="1"/>
    <xf numFmtId="49" fontId="8" fillId="2" borderId="17" xfId="0" applyNumberFormat="1" applyFont="1" applyFill="1" applyBorder="1" applyAlignment="1">
      <alignment horizontal="right"/>
    </xf>
    <xf numFmtId="0" fontId="22" fillId="2" borderId="6" xfId="0" applyFont="1" applyFill="1" applyBorder="1"/>
    <xf numFmtId="49" fontId="8" fillId="0" borderId="51" xfId="0" applyNumberFormat="1" applyFont="1" applyFill="1" applyBorder="1" applyAlignment="1">
      <alignment horizontal="right"/>
    </xf>
    <xf numFmtId="0" fontId="15" fillId="0" borderId="51" xfId="0" applyFont="1" applyFill="1" applyBorder="1"/>
    <xf numFmtId="49" fontId="8" fillId="2" borderId="17" xfId="0" applyNumberFormat="1" applyFont="1" applyFill="1" applyBorder="1" applyAlignment="1">
      <alignment horizontal="right" vertical="top"/>
    </xf>
    <xf numFmtId="0" fontId="22" fillId="2" borderId="6" xfId="0" applyFont="1" applyFill="1" applyBorder="1" applyAlignment="1">
      <alignment horizontal="left" wrapText="1"/>
    </xf>
    <xf numFmtId="0" fontId="15" fillId="0" borderId="31" xfId="0" applyFont="1" applyFill="1" applyBorder="1" applyAlignment="1">
      <alignment horizontal="left" wrapText="1"/>
    </xf>
    <xf numFmtId="49" fontId="8" fillId="0" borderId="51" xfId="0" applyNumberFormat="1" applyFont="1" applyFill="1" applyBorder="1" applyAlignment="1">
      <alignment horizontal="right" vertical="top"/>
    </xf>
    <xf numFmtId="0" fontId="15" fillId="0" borderId="33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horizontal="left" vertical="top" wrapText="1"/>
    </xf>
    <xf numFmtId="0" fontId="15" fillId="0" borderId="51" xfId="0" applyFont="1" applyFill="1" applyBorder="1" applyAlignment="1">
      <alignment horizontal="left" wrapText="1"/>
    </xf>
    <xf numFmtId="0" fontId="22" fillId="2" borderId="17" xfId="0" applyFont="1" applyFill="1" applyBorder="1" applyAlignment="1">
      <alignment horizontal="left" wrapText="1"/>
    </xf>
    <xf numFmtId="49" fontId="8" fillId="0" borderId="52" xfId="0" applyNumberFormat="1" applyFont="1" applyFill="1" applyBorder="1" applyAlignment="1">
      <alignment horizontal="right"/>
    </xf>
    <xf numFmtId="0" fontId="15" fillId="0" borderId="52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4" fillId="0" borderId="39" xfId="1" applyFill="1" applyBorder="1"/>
    <xf numFmtId="0" fontId="4" fillId="0" borderId="16" xfId="1" applyFill="1" applyBorder="1"/>
    <xf numFmtId="0" fontId="4" fillId="0" borderId="4" xfId="1" applyFont="1" applyFill="1" applyBorder="1"/>
    <xf numFmtId="0" fontId="6" fillId="0" borderId="1" xfId="1" applyFont="1" applyFill="1" applyBorder="1"/>
    <xf numFmtId="167" fontId="3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49" fontId="10" fillId="4" borderId="32" xfId="0" applyNumberFormat="1" applyFont="1" applyFill="1" applyBorder="1" applyAlignment="1"/>
    <xf numFmtId="49" fontId="8" fillId="4" borderId="6" xfId="0" applyNumberFormat="1" applyFont="1" applyFill="1" applyBorder="1"/>
    <xf numFmtId="0" fontId="10" fillId="4" borderId="6" xfId="0" applyFont="1" applyFill="1" applyBorder="1" applyAlignment="1">
      <alignment horizontal="right"/>
    </xf>
    <xf numFmtId="165" fontId="15" fillId="0" borderId="7" xfId="0" applyNumberFormat="1" applyFont="1" applyFill="1" applyBorder="1"/>
    <xf numFmtId="165" fontId="15" fillId="0" borderId="11" xfId="0" applyNumberFormat="1" applyFont="1" applyFill="1" applyBorder="1"/>
    <xf numFmtId="4" fontId="3" fillId="0" borderId="0" xfId="0" applyNumberFormat="1" applyFont="1"/>
    <xf numFmtId="0" fontId="8" fillId="0" borderId="6" xfId="0" applyFont="1" applyBorder="1" applyAlignment="1">
      <alignment wrapText="1"/>
    </xf>
    <xf numFmtId="0" fontId="16" fillId="0" borderId="44" xfId="0" applyFont="1" applyFill="1" applyBorder="1" applyAlignment="1">
      <alignment horizontal="center" vertical="center"/>
    </xf>
    <xf numFmtId="0" fontId="8" fillId="0" borderId="5" xfId="0" applyFont="1" applyFill="1" applyBorder="1"/>
    <xf numFmtId="49" fontId="8" fillId="0" borderId="45" xfId="0" applyNumberFormat="1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1" fillId="0" borderId="4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2" xfId="0" applyFill="1" applyBorder="1"/>
    <xf numFmtId="0" fontId="1" fillId="0" borderId="0" xfId="0" applyFont="1" applyAlignment="1"/>
    <xf numFmtId="0" fontId="1" fillId="0" borderId="1" xfId="1" applyFont="1" applyFill="1" applyBorder="1" applyAlignment="1">
      <alignment wrapText="1"/>
    </xf>
    <xf numFmtId="49" fontId="10" fillId="4" borderId="17" xfId="0" applyNumberFormat="1" applyFont="1" applyFill="1" applyBorder="1" applyAlignment="1">
      <alignment horizontal="right"/>
    </xf>
    <xf numFmtId="165" fontId="8" fillId="0" borderId="0" xfId="0" applyNumberFormat="1" applyFont="1" applyFill="1"/>
    <xf numFmtId="164" fontId="8" fillId="0" borderId="0" xfId="0" applyNumberFormat="1" applyFont="1" applyFill="1"/>
    <xf numFmtId="0" fontId="1" fillId="0" borderId="1" xfId="1" applyFont="1" applyFill="1" applyBorder="1"/>
    <xf numFmtId="0" fontId="1" fillId="0" borderId="1" xfId="1" applyFont="1" applyFill="1" applyBorder="1" applyAlignment="1">
      <alignment horizontal="left" wrapText="1"/>
    </xf>
    <xf numFmtId="0" fontId="8" fillId="0" borderId="51" xfId="0" applyFont="1" applyFill="1" applyBorder="1"/>
    <xf numFmtId="1" fontId="0" fillId="0" borderId="0" xfId="0" applyNumberFormat="1"/>
    <xf numFmtId="0" fontId="15" fillId="0" borderId="6" xfId="0" applyFont="1" applyFill="1" applyBorder="1" applyAlignment="1">
      <alignment horizontal="left" wrapText="1"/>
    </xf>
    <xf numFmtId="49" fontId="8" fillId="0" borderId="52" xfId="0" applyNumberFormat="1" applyFont="1" applyFill="1" applyBorder="1" applyAlignment="1">
      <alignment horizontal="right" vertical="top"/>
    </xf>
    <xf numFmtId="0" fontId="25" fillId="2" borderId="0" xfId="0" applyFont="1" applyFill="1" applyBorder="1"/>
    <xf numFmtId="0" fontId="8" fillId="0" borderId="51" xfId="0" applyFont="1" applyFill="1" applyBorder="1" applyAlignment="1">
      <alignment vertical="center"/>
    </xf>
    <xf numFmtId="0" fontId="1" fillId="0" borderId="16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167" fontId="0" fillId="0" borderId="15" xfId="0" applyNumberFormat="1" applyBorder="1"/>
    <xf numFmtId="0" fontId="1" fillId="0" borderId="1" xfId="0" applyFont="1" applyBorder="1"/>
    <xf numFmtId="0" fontId="22" fillId="2" borderId="6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right" vertical="top"/>
    </xf>
    <xf numFmtId="0" fontId="2" fillId="0" borderId="13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3" xfId="0" applyFill="1" applyBorder="1"/>
    <xf numFmtId="0" fontId="0" fillId="0" borderId="4" xfId="0" applyFill="1" applyBorder="1"/>
    <xf numFmtId="0" fontId="1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167" fontId="0" fillId="0" borderId="15" xfId="0" applyNumberFormat="1" applyFill="1" applyBorder="1"/>
    <xf numFmtId="3" fontId="6" fillId="0" borderId="1" xfId="0" applyNumberFormat="1" applyFont="1" applyBorder="1"/>
    <xf numFmtId="4" fontId="3" fillId="0" borderId="1" xfId="0" applyNumberFormat="1" applyFont="1" applyFill="1" applyBorder="1"/>
    <xf numFmtId="3" fontId="0" fillId="0" borderId="13" xfId="0" applyNumberFormat="1" applyBorder="1"/>
    <xf numFmtId="3" fontId="3" fillId="0" borderId="1" xfId="1" applyNumberFormat="1" applyFont="1" applyFill="1" applyBorder="1"/>
    <xf numFmtId="4" fontId="3" fillId="5" borderId="1" xfId="0" applyNumberFormat="1" applyFont="1" applyFill="1" applyBorder="1"/>
    <xf numFmtId="4" fontId="3" fillId="0" borderId="1" xfId="0" applyNumberFormat="1" applyFont="1" applyBorder="1"/>
    <xf numFmtId="4" fontId="4" fillId="0" borderId="1" xfId="0" applyNumberFormat="1" applyFont="1" applyBorder="1"/>
    <xf numFmtId="4" fontId="3" fillId="2" borderId="1" xfId="0" applyNumberFormat="1" applyFont="1" applyFill="1" applyBorder="1"/>
    <xf numFmtId="166" fontId="22" fillId="0" borderId="29" xfId="0" applyNumberFormat="1" applyFont="1" applyFill="1" applyBorder="1"/>
    <xf numFmtId="166" fontId="22" fillId="0" borderId="4" xfId="0" applyNumberFormat="1" applyFont="1" applyFill="1" applyBorder="1"/>
    <xf numFmtId="166" fontId="15" fillId="0" borderId="29" xfId="0" applyNumberFormat="1" applyFont="1" applyFill="1" applyBorder="1"/>
    <xf numFmtId="166" fontId="15" fillId="0" borderId="4" xfId="0" applyNumberFormat="1" applyFont="1" applyFill="1" applyBorder="1"/>
    <xf numFmtId="166" fontId="15" fillId="0" borderId="1" xfId="0" applyNumberFormat="1" applyFont="1" applyFill="1" applyBorder="1"/>
    <xf numFmtId="166" fontId="22" fillId="0" borderId="1" xfId="0" applyNumberFormat="1" applyFont="1" applyFill="1" applyBorder="1"/>
    <xf numFmtId="166" fontId="18" fillId="0" borderId="29" xfId="0" applyNumberFormat="1" applyFont="1" applyFill="1" applyBorder="1"/>
    <xf numFmtId="166" fontId="18" fillId="0" borderId="1" xfId="0" applyNumberFormat="1" applyFont="1" applyFill="1" applyBorder="1"/>
    <xf numFmtId="166" fontId="9" fillId="0" borderId="29" xfId="0" applyNumberFormat="1" applyFont="1" applyFill="1" applyBorder="1"/>
    <xf numFmtId="166" fontId="9" fillId="0" borderId="1" xfId="0" applyNumberFormat="1" applyFont="1" applyFill="1" applyBorder="1"/>
    <xf numFmtId="0" fontId="8" fillId="0" borderId="0" xfId="0" applyFont="1" applyFill="1" applyBorder="1"/>
    <xf numFmtId="166" fontId="9" fillId="0" borderId="3" xfId="0" applyNumberFormat="1" applyFont="1" applyFill="1" applyBorder="1"/>
    <xf numFmtId="166" fontId="22" fillId="0" borderId="18" xfId="0" applyNumberFormat="1" applyFont="1" applyFill="1" applyBorder="1"/>
    <xf numFmtId="166" fontId="22" fillId="0" borderId="19" xfId="0" applyNumberFormat="1" applyFont="1" applyFill="1" applyBorder="1"/>
    <xf numFmtId="166" fontId="18" fillId="0" borderId="18" xfId="0" applyNumberFormat="1" applyFont="1" applyFill="1" applyBorder="1"/>
    <xf numFmtId="166" fontId="18" fillId="0" borderId="19" xfId="0" applyNumberFormat="1" applyFont="1" applyFill="1" applyBorder="1"/>
    <xf numFmtId="166" fontId="18" fillId="4" borderId="18" xfId="0" applyNumberFormat="1" applyFont="1" applyFill="1" applyBorder="1"/>
    <xf numFmtId="166" fontId="18" fillId="4" borderId="19" xfId="0" applyNumberFormat="1" applyFont="1" applyFill="1" applyBorder="1"/>
    <xf numFmtId="166" fontId="15" fillId="0" borderId="54" xfId="0" applyNumberFormat="1" applyFont="1" applyFill="1" applyBorder="1"/>
    <xf numFmtId="166" fontId="15" fillId="0" borderId="3" xfId="0" applyNumberFormat="1" applyFont="1" applyFill="1" applyBorder="1"/>
    <xf numFmtId="166" fontId="18" fillId="4" borderId="17" xfId="0" applyNumberFormat="1" applyFont="1" applyFill="1" applyBorder="1"/>
    <xf numFmtId="166" fontId="18" fillId="4" borderId="22" xfId="0" applyNumberFormat="1" applyFont="1" applyFill="1" applyBorder="1"/>
    <xf numFmtId="166" fontId="18" fillId="0" borderId="47" xfId="0" applyNumberFormat="1" applyFont="1" applyFill="1" applyBorder="1"/>
    <xf numFmtId="166" fontId="18" fillId="0" borderId="49" xfId="0" applyNumberFormat="1" applyFont="1" applyFill="1" applyBorder="1"/>
    <xf numFmtId="166" fontId="18" fillId="0" borderId="40" xfId="0" applyNumberFormat="1" applyFont="1" applyFill="1" applyBorder="1"/>
    <xf numFmtId="166" fontId="18" fillId="0" borderId="41" xfId="0" applyNumberFormat="1" applyFont="1" applyFill="1" applyBorder="1"/>
    <xf numFmtId="166" fontId="15" fillId="0" borderId="58" xfId="0" applyNumberFormat="1" applyFont="1" applyFill="1" applyBorder="1"/>
    <xf numFmtId="166" fontId="15" fillId="0" borderId="45" xfId="0" applyNumberFormat="1" applyFont="1" applyFill="1" applyBorder="1"/>
    <xf numFmtId="166" fontId="18" fillId="4" borderId="20" xfId="0" applyNumberFormat="1" applyFont="1" applyFill="1" applyBorder="1"/>
    <xf numFmtId="166" fontId="18" fillId="4" borderId="47" xfId="0" applyNumberFormat="1" applyFont="1" applyFill="1" applyBorder="1"/>
    <xf numFmtId="166" fontId="18" fillId="4" borderId="49" xfId="0" applyNumberFormat="1" applyFont="1" applyFill="1" applyBorder="1"/>
    <xf numFmtId="166" fontId="8" fillId="4" borderId="18" xfId="0" applyNumberFormat="1" applyFont="1" applyFill="1" applyBorder="1"/>
    <xf numFmtId="166" fontId="8" fillId="4" borderId="19" xfId="0" applyNumberFormat="1" applyFont="1" applyFill="1" applyBorder="1"/>
    <xf numFmtId="166" fontId="15" fillId="0" borderId="60" xfId="0" applyNumberFormat="1" applyFont="1" applyFill="1" applyBorder="1"/>
    <xf numFmtId="166" fontId="15" fillId="0" borderId="7" xfId="0" applyNumberFormat="1" applyFont="1" applyFill="1" applyBorder="1"/>
    <xf numFmtId="4" fontId="4" fillId="0" borderId="1" xfId="0" applyNumberFormat="1" applyFont="1" applyFill="1" applyBorder="1"/>
    <xf numFmtId="167" fontId="0" fillId="0" borderId="13" xfId="0" applyNumberFormat="1" applyFill="1" applyBorder="1"/>
    <xf numFmtId="3" fontId="0" fillId="0" borderId="13" xfId="0" applyNumberFormat="1" applyFill="1" applyBorder="1"/>
    <xf numFmtId="166" fontId="15" fillId="0" borderId="15" xfId="0" applyNumberFormat="1" applyFont="1" applyFill="1" applyBorder="1"/>
    <xf numFmtId="166" fontId="15" fillId="0" borderId="14" xfId="0" applyNumberFormat="1" applyFont="1" applyFill="1" applyBorder="1"/>
    <xf numFmtId="0" fontId="8" fillId="0" borderId="0" xfId="0" applyFont="1" applyFill="1" applyAlignment="1">
      <alignment horizontal="right"/>
    </xf>
    <xf numFmtId="166" fontId="15" fillId="0" borderId="56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6" fontId="9" fillId="0" borderId="38" xfId="0" applyNumberFormat="1" applyFont="1" applyFill="1" applyBorder="1" applyAlignment="1">
      <alignment horizontal="right"/>
    </xf>
    <xf numFmtId="166" fontId="9" fillId="0" borderId="4" xfId="0" applyNumberFormat="1" applyFont="1" applyFill="1" applyBorder="1"/>
    <xf numFmtId="166" fontId="9" fillId="0" borderId="37" xfId="0" applyNumberFormat="1" applyFont="1" applyFill="1" applyBorder="1"/>
    <xf numFmtId="3" fontId="0" fillId="5" borderId="1" xfId="0" applyNumberFormat="1" applyFill="1" applyBorder="1"/>
    <xf numFmtId="166" fontId="15" fillId="0" borderId="38" xfId="0" applyNumberFormat="1" applyFont="1" applyFill="1" applyBorder="1"/>
    <xf numFmtId="166" fontId="22" fillId="0" borderId="35" xfId="0" applyNumberFormat="1" applyFont="1" applyFill="1" applyBorder="1"/>
    <xf numFmtId="166" fontId="22" fillId="0" borderId="9" xfId="0" applyNumberFormat="1" applyFont="1" applyFill="1" applyBorder="1"/>
    <xf numFmtId="165" fontId="8" fillId="0" borderId="51" xfId="0" applyNumberFormat="1" applyFont="1" applyFill="1" applyBorder="1"/>
    <xf numFmtId="166" fontId="20" fillId="0" borderId="29" xfId="0" applyNumberFormat="1" applyFont="1" applyFill="1" applyBorder="1"/>
    <xf numFmtId="166" fontId="20" fillId="0" borderId="1" xfId="0" applyNumberFormat="1" applyFont="1" applyFill="1" applyBorder="1"/>
    <xf numFmtId="166" fontId="20" fillId="0" borderId="38" xfId="0" applyNumberFormat="1" applyFont="1" applyFill="1" applyBorder="1"/>
    <xf numFmtId="166" fontId="0" fillId="0" borderId="55" xfId="0" applyNumberFormat="1" applyBorder="1"/>
    <xf numFmtId="166" fontId="20" fillId="0" borderId="12" xfId="0" applyNumberFormat="1" applyFont="1" applyFill="1" applyBorder="1"/>
    <xf numFmtId="166" fontId="9" fillId="0" borderId="28" xfId="0" applyNumberFormat="1" applyFont="1" applyFill="1" applyBorder="1"/>
    <xf numFmtId="166" fontId="9" fillId="0" borderId="38" xfId="0" applyNumberFormat="1" applyFont="1" applyFill="1" applyBorder="1"/>
    <xf numFmtId="0" fontId="19" fillId="0" borderId="51" xfId="0" applyFont="1" applyFill="1" applyBorder="1"/>
    <xf numFmtId="164" fontId="8" fillId="0" borderId="0" xfId="0" applyNumberFormat="1" applyFont="1" applyFill="1" applyBorder="1" applyAlignment="1">
      <alignment horizontal="center"/>
    </xf>
    <xf numFmtId="168" fontId="0" fillId="0" borderId="13" xfId="0" applyNumberFormat="1" applyFill="1" applyBorder="1"/>
    <xf numFmtId="166" fontId="18" fillId="0" borderId="28" xfId="0" applyNumberFormat="1" applyFont="1" applyFill="1" applyBorder="1"/>
    <xf numFmtId="166" fontId="18" fillId="0" borderId="4" xfId="0" applyNumberFormat="1" applyFont="1" applyFill="1" applyBorder="1"/>
    <xf numFmtId="166" fontId="22" fillId="0" borderId="15" xfId="0" applyNumberFormat="1" applyFont="1" applyFill="1" applyBorder="1"/>
    <xf numFmtId="166" fontId="9" fillId="0" borderId="47" xfId="0" applyNumberFormat="1" applyFont="1" applyFill="1" applyBorder="1"/>
    <xf numFmtId="166" fontId="9" fillId="0" borderId="2" xfId="0" applyNumberFormat="1" applyFont="1" applyFill="1" applyBorder="1"/>
    <xf numFmtId="166" fontId="9" fillId="0" borderId="7" xfId="0" applyNumberFormat="1" applyFont="1" applyFill="1" applyBorder="1"/>
    <xf numFmtId="166" fontId="18" fillId="0" borderId="2" xfId="0" applyNumberFormat="1" applyFont="1" applyFill="1" applyBorder="1"/>
    <xf numFmtId="166" fontId="18" fillId="0" borderId="38" xfId="0" applyNumberFormat="1" applyFont="1" applyFill="1" applyBorder="1"/>
    <xf numFmtId="166" fontId="22" fillId="0" borderId="38" xfId="0" applyNumberFormat="1" applyFont="1" applyFill="1" applyBorder="1"/>
    <xf numFmtId="166" fontId="9" fillId="0" borderId="12" xfId="0" applyNumberFormat="1" applyFont="1" applyFill="1" applyBorder="1"/>
    <xf numFmtId="165" fontId="19" fillId="0" borderId="51" xfId="0" applyNumberFormat="1" applyFont="1" applyFill="1" applyBorder="1"/>
    <xf numFmtId="166" fontId="8" fillId="0" borderId="0" xfId="0" applyNumberFormat="1" applyFont="1" applyFill="1"/>
    <xf numFmtId="0" fontId="0" fillId="0" borderId="0" xfId="0" applyAlignme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0" fillId="0" borderId="15" xfId="0" applyNumberFormat="1" applyBorder="1"/>
    <xf numFmtId="0" fontId="6" fillId="0" borderId="0" xfId="0" applyFont="1"/>
    <xf numFmtId="3" fontId="1" fillId="0" borderId="1" xfId="0" applyNumberFormat="1" applyFont="1" applyBorder="1"/>
    <xf numFmtId="166" fontId="18" fillId="0" borderId="35" xfId="0" applyNumberFormat="1" applyFont="1" applyFill="1" applyBorder="1"/>
    <xf numFmtId="166" fontId="18" fillId="0" borderId="9" xfId="0" applyNumberFormat="1" applyFont="1" applyFill="1" applyBorder="1"/>
    <xf numFmtId="166" fontId="18" fillId="0" borderId="14" xfId="0" applyNumberFormat="1" applyFont="1" applyFill="1" applyBorder="1"/>
    <xf numFmtId="166" fontId="22" fillId="0" borderId="20" xfId="0" applyNumberFormat="1" applyFont="1" applyFill="1" applyBorder="1"/>
    <xf numFmtId="0" fontId="0" fillId="0" borderId="0" xfId="0" applyAlignment="1"/>
    <xf numFmtId="0" fontId="1" fillId="0" borderId="0" xfId="0" applyFont="1" applyAlignment="1"/>
    <xf numFmtId="166" fontId="22" fillId="0" borderId="22" xfId="0" applyNumberFormat="1" applyFont="1" applyFill="1" applyBorder="1"/>
    <xf numFmtId="166" fontId="18" fillId="0" borderId="20" xfId="0" applyNumberFormat="1" applyFont="1" applyFill="1" applyBorder="1"/>
    <xf numFmtId="166" fontId="22" fillId="0" borderId="21" xfId="0" applyNumberFormat="1" applyFont="1" applyFill="1" applyBorder="1"/>
    <xf numFmtId="166" fontId="18" fillId="4" borderId="21" xfId="0" applyNumberFormat="1" applyFont="1" applyFill="1" applyBorder="1"/>
    <xf numFmtId="166" fontId="8" fillId="0" borderId="51" xfId="0" applyNumberFormat="1" applyFont="1" applyFill="1" applyBorder="1"/>
    <xf numFmtId="166" fontId="22" fillId="0" borderId="14" xfId="0" applyNumberFormat="1" applyFont="1" applyFill="1" applyBorder="1"/>
    <xf numFmtId="166" fontId="22" fillId="2" borderId="18" xfId="0" applyNumberFormat="1" applyFont="1" applyFill="1" applyBorder="1"/>
    <xf numFmtId="166" fontId="22" fillId="2" borderId="19" xfId="0" applyNumberFormat="1" applyFont="1" applyFill="1" applyBorder="1"/>
    <xf numFmtId="166" fontId="15" fillId="0" borderId="35" xfId="0" applyNumberFormat="1" applyFont="1" applyFill="1" applyBorder="1"/>
    <xf numFmtId="166" fontId="15" fillId="0" borderId="9" xfId="0" applyNumberFormat="1" applyFont="1" applyFill="1" applyBorder="1"/>
    <xf numFmtId="166" fontId="15" fillId="0" borderId="2" xfId="0" applyNumberFormat="1" applyFont="1" applyFill="1" applyBorder="1"/>
    <xf numFmtId="166" fontId="15" fillId="0" borderId="55" xfId="0" applyNumberFormat="1" applyFont="1" applyFill="1" applyBorder="1"/>
    <xf numFmtId="166" fontId="18" fillId="4" borderId="50" xfId="0" applyNumberFormat="1" applyFont="1" applyFill="1" applyBorder="1"/>
    <xf numFmtId="166" fontId="8" fillId="4" borderId="20" xfId="0" applyNumberFormat="1" applyFont="1" applyFill="1" applyBorder="1"/>
    <xf numFmtId="166" fontId="22" fillId="2" borderId="35" xfId="0" applyNumberFormat="1" applyFont="1" applyFill="1" applyBorder="1"/>
    <xf numFmtId="166" fontId="22" fillId="2" borderId="9" xfId="0" applyNumberFormat="1" applyFont="1" applyFill="1" applyBorder="1"/>
    <xf numFmtId="166" fontId="22" fillId="2" borderId="36" xfId="0" applyNumberFormat="1" applyFont="1" applyFill="1" applyBorder="1"/>
    <xf numFmtId="166" fontId="15" fillId="0" borderId="40" xfId="0" applyNumberFormat="1" applyFont="1" applyFill="1" applyBorder="1"/>
    <xf numFmtId="166" fontId="15" fillId="0" borderId="41" xfId="0" applyNumberFormat="1" applyFont="1" applyFill="1" applyBorder="1"/>
    <xf numFmtId="166" fontId="15" fillId="0" borderId="42" xfId="0" applyNumberFormat="1" applyFont="1" applyFill="1" applyBorder="1"/>
    <xf numFmtId="166" fontId="22" fillId="2" borderId="20" xfId="0" applyNumberFormat="1" applyFont="1" applyFill="1" applyBorder="1"/>
    <xf numFmtId="166" fontId="15" fillId="0" borderId="28" xfId="0" applyNumberFormat="1" applyFont="1" applyFill="1" applyBorder="1"/>
    <xf numFmtId="166" fontId="15" fillId="0" borderId="57" xfId="0" applyNumberFormat="1" applyFont="1" applyFill="1" applyBorder="1"/>
    <xf numFmtId="166" fontId="22" fillId="2" borderId="22" xfId="0" applyNumberFormat="1" applyFont="1" applyFill="1" applyBorder="1"/>
    <xf numFmtId="166" fontId="15" fillId="0" borderId="36" xfId="0" applyNumberFormat="1" applyFont="1" applyFill="1" applyBorder="1"/>
    <xf numFmtId="166" fontId="15" fillId="0" borderId="61" xfId="0" applyNumberFormat="1" applyFont="1" applyFill="1" applyBorder="1"/>
    <xf numFmtId="166" fontId="15" fillId="0" borderId="11" xfId="0" applyNumberFormat="1" applyFont="1" applyFill="1" applyBorder="1"/>
    <xf numFmtId="166" fontId="15" fillId="0" borderId="19" xfId="0" applyNumberFormat="1" applyFont="1" applyFill="1" applyBorder="1"/>
    <xf numFmtId="166" fontId="15" fillId="0" borderId="20" xfId="0" applyNumberFormat="1" applyFont="1" applyFill="1" applyBorder="1"/>
    <xf numFmtId="166" fontId="15" fillId="0" borderId="53" xfId="0" applyNumberFormat="1" applyFont="1" applyFill="1" applyBorder="1"/>
    <xf numFmtId="166" fontId="15" fillId="0" borderId="37" xfId="0" applyNumberFormat="1" applyFont="1" applyFill="1" applyBorder="1"/>
    <xf numFmtId="166" fontId="22" fillId="2" borderId="41" xfId="0" applyNumberFormat="1" applyFont="1" applyFill="1" applyBorder="1"/>
    <xf numFmtId="166" fontId="22" fillId="0" borderId="40" xfId="0" applyNumberFormat="1" applyFont="1" applyFill="1" applyBorder="1"/>
    <xf numFmtId="166" fontId="18" fillId="2" borderId="19" xfId="0" applyNumberFormat="1" applyFont="1" applyFill="1" applyBorder="1"/>
    <xf numFmtId="166" fontId="18" fillId="2" borderId="22" xfId="0" applyNumberFormat="1" applyFont="1" applyFill="1" applyBorder="1"/>
    <xf numFmtId="166" fontId="18" fillId="2" borderId="18" xfId="0" applyNumberFormat="1" applyFont="1" applyFill="1" applyBorder="1"/>
    <xf numFmtId="166" fontId="9" fillId="0" borderId="55" xfId="0" applyNumberFormat="1" applyFont="1" applyFill="1" applyBorder="1"/>
    <xf numFmtId="166" fontId="15" fillId="2" borderId="19" xfId="0" applyNumberFormat="1" applyFont="1" applyFill="1" applyBorder="1"/>
    <xf numFmtId="166" fontId="15" fillId="2" borderId="20" xfId="0" applyNumberFormat="1" applyFont="1" applyFill="1" applyBorder="1"/>
    <xf numFmtId="166" fontId="18" fillId="2" borderId="21" xfId="0" applyNumberFormat="1" applyFont="1" applyFill="1" applyBorder="1"/>
    <xf numFmtId="166" fontId="9" fillId="2" borderId="19" xfId="0" applyNumberFormat="1" applyFont="1" applyFill="1" applyBorder="1"/>
    <xf numFmtId="166" fontId="9" fillId="2" borderId="22" xfId="0" applyNumberFormat="1" applyFont="1" applyFill="1" applyBorder="1"/>
    <xf numFmtId="166" fontId="9" fillId="0" borderId="13" xfId="0" applyNumberFormat="1" applyFont="1" applyFill="1" applyBorder="1"/>
    <xf numFmtId="166" fontId="9" fillId="0" borderId="60" xfId="0" applyNumberFormat="1" applyFont="1" applyFill="1" applyBorder="1"/>
    <xf numFmtId="166" fontId="9" fillId="0" borderId="54" xfId="0" applyNumberFormat="1" applyFont="1" applyFill="1" applyBorder="1"/>
    <xf numFmtId="166" fontId="15" fillId="0" borderId="18" xfId="0" applyNumberFormat="1" applyFont="1" applyFill="1" applyBorder="1"/>
    <xf numFmtId="166" fontId="22" fillId="2" borderId="40" xfId="0" applyNumberFormat="1" applyFont="1" applyFill="1" applyBorder="1"/>
    <xf numFmtId="166" fontId="22" fillId="2" borderId="44" xfId="0" applyNumberFormat="1" applyFont="1" applyFill="1" applyBorder="1"/>
    <xf numFmtId="166" fontId="15" fillId="0" borderId="49" xfId="0" applyNumberFormat="1" applyFont="1" applyFill="1" applyBorder="1"/>
    <xf numFmtId="166" fontId="22" fillId="2" borderId="47" xfId="0" applyNumberFormat="1" applyFont="1" applyFill="1" applyBorder="1"/>
    <xf numFmtId="166" fontId="22" fillId="2" borderId="49" xfId="0" applyNumberFormat="1" applyFont="1" applyFill="1" applyBorder="1"/>
    <xf numFmtId="166" fontId="22" fillId="2" borderId="62" xfId="0" applyNumberFormat="1" applyFont="1" applyFill="1" applyBorder="1"/>
    <xf numFmtId="166" fontId="15" fillId="0" borderId="47" xfId="0" applyNumberFormat="1" applyFont="1" applyFill="1" applyBorder="1"/>
    <xf numFmtId="166" fontId="8" fillId="0" borderId="23" xfId="0" applyNumberFormat="1" applyFont="1" applyFill="1" applyBorder="1" applyAlignment="1">
      <alignment horizontal="right"/>
    </xf>
    <xf numFmtId="166" fontId="8" fillId="3" borderId="8" xfId="0" applyNumberFormat="1" applyFont="1" applyFill="1" applyBorder="1"/>
    <xf numFmtId="166" fontId="8" fillId="0" borderId="25" xfId="0" applyNumberFormat="1" applyFont="1" applyFill="1" applyBorder="1" applyAlignment="1">
      <alignment horizontal="right" vertical="top"/>
    </xf>
    <xf numFmtId="166" fontId="19" fillId="0" borderId="25" xfId="0" applyNumberFormat="1" applyFont="1" applyFill="1" applyBorder="1" applyAlignment="1">
      <alignment horizontal="right" wrapText="1"/>
    </xf>
    <xf numFmtId="166" fontId="15" fillId="0" borderId="12" xfId="0" applyNumberFormat="1" applyFont="1" applyFill="1" applyBorder="1"/>
    <xf numFmtId="166" fontId="8" fillId="0" borderId="31" xfId="0" applyNumberFormat="1" applyFont="1" applyFill="1" applyBorder="1" applyAlignment="1">
      <alignment horizontal="right" vertical="top"/>
    </xf>
    <xf numFmtId="166" fontId="8" fillId="0" borderId="25" xfId="0" applyNumberFormat="1" applyFont="1" applyFill="1" applyBorder="1" applyAlignment="1">
      <alignment horizontal="right"/>
    </xf>
    <xf numFmtId="166" fontId="8" fillId="0" borderId="31" xfId="0" applyNumberFormat="1" applyFont="1" applyFill="1" applyBorder="1" applyAlignment="1">
      <alignment horizontal="right"/>
    </xf>
    <xf numFmtId="166" fontId="10" fillId="0" borderId="26" xfId="0" applyNumberFormat="1" applyFont="1" applyFill="1" applyBorder="1" applyAlignment="1">
      <alignment horizontal="right"/>
    </xf>
    <xf numFmtId="166" fontId="18" fillId="0" borderId="21" xfId="0" applyNumberFormat="1" applyFont="1" applyFill="1" applyBorder="1"/>
    <xf numFmtId="166" fontId="8" fillId="0" borderId="8" xfId="0" applyNumberFormat="1" applyFont="1" applyFill="1" applyBorder="1" applyAlignment="1">
      <alignment horizontal="right"/>
    </xf>
    <xf numFmtId="166" fontId="8" fillId="3" borderId="39" xfId="0" applyNumberFormat="1" applyFont="1" applyFill="1" applyBorder="1" applyAlignment="1">
      <alignment horizontal="left" wrapText="1"/>
    </xf>
    <xf numFmtId="166" fontId="22" fillId="0" borderId="36" xfId="0" applyNumberFormat="1" applyFont="1" applyFill="1" applyBorder="1"/>
    <xf numFmtId="166" fontId="8" fillId="0" borderId="24" xfId="0" applyNumberFormat="1" applyFont="1" applyFill="1" applyBorder="1" applyAlignment="1">
      <alignment horizontal="right"/>
    </xf>
    <xf numFmtId="166" fontId="19" fillId="0" borderId="24" xfId="0" applyNumberFormat="1" applyFont="1" applyFill="1" applyBorder="1" applyAlignment="1">
      <alignment horizontal="right" wrapText="1"/>
    </xf>
    <xf numFmtId="166" fontId="8" fillId="3" borderId="24" xfId="0" applyNumberFormat="1" applyFont="1" applyFill="1" applyBorder="1"/>
    <xf numFmtId="166" fontId="22" fillId="0" borderId="28" xfId="0" applyNumberFormat="1" applyFont="1" applyFill="1" applyBorder="1"/>
    <xf numFmtId="166" fontId="19" fillId="0" borderId="34" xfId="0" applyNumberFormat="1" applyFont="1" applyFill="1" applyBorder="1" applyAlignment="1">
      <alignment horizontal="right"/>
    </xf>
    <xf numFmtId="166" fontId="19" fillId="0" borderId="34" xfId="0" applyNumberFormat="1" applyFont="1" applyFill="1" applyBorder="1" applyAlignment="1">
      <alignment horizontal="right" wrapText="1"/>
    </xf>
    <xf numFmtId="166" fontId="19" fillId="0" borderId="5" xfId="0" applyNumberFormat="1" applyFont="1" applyFill="1" applyBorder="1" applyAlignment="1">
      <alignment horizontal="right"/>
    </xf>
    <xf numFmtId="166" fontId="19" fillId="0" borderId="30" xfId="0" applyNumberFormat="1" applyFont="1" applyFill="1" applyBorder="1" applyAlignment="1">
      <alignment horizontal="right"/>
    </xf>
    <xf numFmtId="166" fontId="19" fillId="0" borderId="24" xfId="0" applyNumberFormat="1" applyFont="1" applyFill="1" applyBorder="1" applyAlignment="1">
      <alignment horizontal="right"/>
    </xf>
    <xf numFmtId="166" fontId="19" fillId="0" borderId="1" xfId="0" applyNumberFormat="1" applyFont="1" applyBorder="1" applyAlignment="1">
      <alignment horizontal="right" wrapText="1"/>
    </xf>
    <xf numFmtId="166" fontId="19" fillId="0" borderId="23" xfId="0" applyNumberFormat="1" applyFont="1" applyFill="1" applyBorder="1" applyAlignment="1">
      <alignment horizontal="right" wrapText="1"/>
    </xf>
    <xf numFmtId="166" fontId="19" fillId="0" borderId="5" xfId="0" applyNumberFormat="1" applyFont="1" applyFill="1" applyBorder="1" applyAlignment="1">
      <alignment horizontal="right" wrapText="1"/>
    </xf>
    <xf numFmtId="166" fontId="19" fillId="0" borderId="5" xfId="0" applyNumberFormat="1" applyFont="1" applyBorder="1" applyAlignment="1">
      <alignment horizontal="right" wrapText="1"/>
    </xf>
    <xf numFmtId="166" fontId="19" fillId="0" borderId="1" xfId="0" applyNumberFormat="1" applyFont="1" applyFill="1" applyBorder="1" applyAlignment="1">
      <alignment horizontal="right" wrapText="1"/>
    </xf>
    <xf numFmtId="166" fontId="24" fillId="0" borderId="1" xfId="1" applyNumberFormat="1" applyFont="1" applyFill="1" applyBorder="1" applyAlignment="1">
      <alignment horizontal="right" vertical="center" wrapText="1"/>
    </xf>
    <xf numFmtId="166" fontId="19" fillId="0" borderId="1" xfId="2" applyNumberFormat="1" applyFont="1" applyFill="1" applyBorder="1" applyAlignment="1" applyProtection="1">
      <alignment horizontal="right" vertical="center" wrapText="1"/>
    </xf>
    <xf numFmtId="166" fontId="8" fillId="3" borderId="30" xfId="0" applyNumberFormat="1" applyFont="1" applyFill="1" applyBorder="1"/>
    <xf numFmtId="166" fontId="8" fillId="3" borderId="5" xfId="0" applyNumberFormat="1" applyFont="1" applyFill="1" applyBorder="1" applyAlignment="1">
      <alignment horizontal="left" wrapText="1"/>
    </xf>
    <xf numFmtId="166" fontId="8" fillId="3" borderId="24" xfId="0" applyNumberFormat="1" applyFont="1" applyFill="1" applyBorder="1" applyAlignment="1">
      <alignment horizontal="left"/>
    </xf>
    <xf numFmtId="166" fontId="8" fillId="3" borderId="25" xfId="0" applyNumberFormat="1" applyFont="1" applyFill="1" applyBorder="1" applyAlignment="1">
      <alignment horizontal="left" wrapText="1"/>
    </xf>
    <xf numFmtId="166" fontId="19" fillId="0" borderId="25" xfId="0" applyNumberFormat="1" applyFont="1" applyFill="1" applyBorder="1" applyAlignment="1">
      <alignment horizontal="right"/>
    </xf>
    <xf numFmtId="166" fontId="19" fillId="0" borderId="31" xfId="0" applyNumberFormat="1" applyFont="1" applyFill="1" applyBorder="1" applyAlignment="1">
      <alignment horizontal="right"/>
    </xf>
    <xf numFmtId="166" fontId="8" fillId="3" borderId="5" xfId="0" applyNumberFormat="1" applyFont="1" applyFill="1" applyBorder="1" applyAlignment="1">
      <alignment horizontal="left"/>
    </xf>
    <xf numFmtId="166" fontId="22" fillId="0" borderId="12" xfId="0" applyNumberFormat="1" applyFont="1" applyFill="1" applyBorder="1"/>
    <xf numFmtId="166" fontId="20" fillId="0" borderId="15" xfId="0" applyNumberFormat="1" applyFont="1" applyFill="1" applyBorder="1"/>
    <xf numFmtId="166" fontId="19" fillId="0" borderId="13" xfId="0" applyNumberFormat="1" applyFont="1" applyFill="1" applyBorder="1" applyAlignment="1">
      <alignment horizontal="right" wrapText="1"/>
    </xf>
    <xf numFmtId="166" fontId="19" fillId="0" borderId="29" xfId="0" applyNumberFormat="1" applyFont="1" applyFill="1" applyBorder="1" applyAlignment="1">
      <alignment horizontal="right" wrapText="1"/>
    </xf>
    <xf numFmtId="166" fontId="19" fillId="0" borderId="31" xfId="0" applyNumberFormat="1" applyFont="1" applyFill="1" applyBorder="1" applyAlignment="1">
      <alignment horizontal="right" wrapText="1"/>
    </xf>
    <xf numFmtId="166" fontId="19" fillId="0" borderId="24" xfId="0" applyNumberFormat="1" applyFont="1" applyBorder="1" applyAlignment="1">
      <alignment horizontal="right" wrapText="1"/>
    </xf>
    <xf numFmtId="166" fontId="8" fillId="3" borderId="29" xfId="0" applyNumberFormat="1" applyFont="1" applyFill="1" applyBorder="1" applyAlignment="1">
      <alignment horizontal="left"/>
    </xf>
    <xf numFmtId="166" fontId="0" fillId="0" borderId="28" xfId="0" applyNumberFormat="1" applyBorder="1"/>
    <xf numFmtId="166" fontId="19" fillId="0" borderId="29" xfId="0" applyNumberFormat="1" applyFont="1" applyFill="1" applyBorder="1" applyAlignment="1">
      <alignment horizontal="right"/>
    </xf>
    <xf numFmtId="166" fontId="0" fillId="0" borderId="54" xfId="0" applyNumberFormat="1" applyBorder="1"/>
    <xf numFmtId="166" fontId="22" fillId="0" borderId="37" xfId="0" applyNumberFormat="1" applyFont="1" applyFill="1" applyBorder="1"/>
    <xf numFmtId="166" fontId="8" fillId="3" borderId="28" xfId="0" applyNumberFormat="1" applyFont="1" applyFill="1" applyBorder="1" applyAlignment="1">
      <alignment horizontal="left"/>
    </xf>
    <xf numFmtId="166" fontId="19" fillId="0" borderId="28" xfId="0" applyNumberFormat="1" applyFont="1" applyFill="1" applyBorder="1" applyAlignment="1">
      <alignment horizontal="right" wrapText="1"/>
    </xf>
    <xf numFmtId="166" fontId="19" fillId="0" borderId="28" xfId="0" applyNumberFormat="1" applyFont="1" applyFill="1" applyBorder="1" applyAlignment="1">
      <alignment horizontal="right"/>
    </xf>
    <xf numFmtId="166" fontId="0" fillId="0" borderId="29" xfId="0" applyNumberFormat="1" applyBorder="1"/>
    <xf numFmtId="166" fontId="13" fillId="3" borderId="8" xfId="0" applyNumberFormat="1" applyFont="1" applyFill="1" applyBorder="1"/>
    <xf numFmtId="166" fontId="8" fillId="0" borderId="46" xfId="0" applyNumberFormat="1" applyFont="1" applyFill="1" applyBorder="1" applyAlignment="1">
      <alignment horizontal="right"/>
    </xf>
    <xf numFmtId="166" fontId="18" fillId="0" borderId="3" xfId="0" applyNumberFormat="1" applyFont="1" applyFill="1" applyBorder="1"/>
    <xf numFmtId="166" fontId="18" fillId="0" borderId="37" xfId="0" applyNumberFormat="1" applyFont="1" applyFill="1" applyBorder="1"/>
    <xf numFmtId="166" fontId="9" fillId="0" borderId="45" xfId="0" applyNumberFormat="1" applyFont="1" applyFill="1" applyBorder="1"/>
    <xf numFmtId="166" fontId="18" fillId="0" borderId="45" xfId="0" applyNumberFormat="1" applyFont="1" applyFill="1" applyBorder="1"/>
    <xf numFmtId="166" fontId="18" fillId="0" borderId="12" xfId="0" applyNumberFormat="1" applyFont="1" applyFill="1" applyBorder="1"/>
    <xf numFmtId="166" fontId="18" fillId="0" borderId="15" xfId="0" applyNumberFormat="1" applyFont="1" applyFill="1" applyBorder="1"/>
    <xf numFmtId="166" fontId="8" fillId="0" borderId="63" xfId="0" applyNumberFormat="1" applyFont="1" applyFill="1" applyBorder="1" applyAlignment="1">
      <alignment horizontal="right"/>
    </xf>
    <xf numFmtId="166" fontId="9" fillId="0" borderId="53" xfId="0" applyNumberFormat="1" applyFont="1" applyFill="1" applyBorder="1"/>
    <xf numFmtId="166" fontId="9" fillId="0" borderId="57" xfId="0" applyNumberFormat="1" applyFont="1" applyFill="1" applyBorder="1"/>
    <xf numFmtId="166" fontId="8" fillId="0" borderId="16" xfId="0" applyNumberFormat="1" applyFont="1" applyFill="1" applyBorder="1" applyAlignment="1">
      <alignment horizontal="right"/>
    </xf>
    <xf numFmtId="166" fontId="18" fillId="0" borderId="57" xfId="0" applyNumberFormat="1" applyFont="1" applyFill="1" applyBorder="1"/>
    <xf numFmtId="166" fontId="9" fillId="0" borderId="11" xfId="0" applyNumberFormat="1" applyFont="1" applyFill="1" applyBorder="1"/>
    <xf numFmtId="166" fontId="18" fillId="0" borderId="7" xfId="0" applyNumberFormat="1" applyFont="1" applyFill="1" applyBorder="1"/>
    <xf numFmtId="166" fontId="18" fillId="0" borderId="50" xfId="0" applyNumberFormat="1" applyFont="1" applyFill="1" applyBorder="1"/>
    <xf numFmtId="166" fontId="18" fillId="0" borderId="11" xfId="0" applyNumberFormat="1" applyFont="1" applyFill="1" applyBorder="1"/>
    <xf numFmtId="166" fontId="9" fillId="0" borderId="15" xfId="0" applyNumberFormat="1" applyFont="1" applyFill="1" applyBorder="1"/>
    <xf numFmtId="166" fontId="8" fillId="0" borderId="24" xfId="0" applyNumberFormat="1" applyFont="1" applyFill="1" applyBorder="1" applyAlignment="1">
      <alignment horizontal="right" vertical="center"/>
    </xf>
    <xf numFmtId="166" fontId="9" fillId="0" borderId="29" xfId="0" applyNumberFormat="1" applyFont="1" applyFill="1" applyBorder="1" applyAlignment="1">
      <alignment horizontal="right"/>
    </xf>
    <xf numFmtId="166" fontId="8" fillId="3" borderId="24" xfId="0" applyNumberFormat="1" applyFont="1" applyFill="1" applyBorder="1" applyAlignment="1">
      <alignment horizontal="left" wrapText="1"/>
    </xf>
    <xf numFmtId="166" fontId="8" fillId="0" borderId="33" xfId="0" applyNumberFormat="1" applyFont="1" applyFill="1" applyBorder="1" applyAlignment="1">
      <alignment horizontal="right"/>
    </xf>
    <xf numFmtId="166" fontId="8" fillId="3" borderId="5" xfId="0" applyNumberFormat="1" applyFont="1" applyFill="1" applyBorder="1"/>
    <xf numFmtId="166" fontId="18" fillId="0" borderId="36" xfId="0" applyNumberFormat="1" applyFont="1" applyFill="1" applyBorder="1"/>
    <xf numFmtId="166" fontId="19" fillId="0" borderId="30" xfId="0" applyNumberFormat="1" applyFont="1" applyFill="1" applyBorder="1" applyAlignment="1">
      <alignment horizontal="right" wrapText="1"/>
    </xf>
    <xf numFmtId="166" fontId="8" fillId="3" borderId="48" xfId="0" applyNumberFormat="1" applyFont="1" applyFill="1" applyBorder="1"/>
    <xf numFmtId="166" fontId="8" fillId="0" borderId="27" xfId="0" applyNumberFormat="1" applyFont="1" applyFill="1" applyBorder="1" applyAlignment="1">
      <alignment horizontal="right"/>
    </xf>
    <xf numFmtId="166" fontId="10" fillId="0" borderId="65" xfId="0" applyNumberFormat="1" applyFont="1" applyFill="1" applyBorder="1" applyAlignment="1">
      <alignment horizontal="right"/>
    </xf>
    <xf numFmtId="166" fontId="18" fillId="0" borderId="43" xfId="0" applyNumberFormat="1" applyFont="1" applyFill="1" applyBorder="1"/>
    <xf numFmtId="166" fontId="8" fillId="4" borderId="17" xfId="0" applyNumberFormat="1" applyFont="1" applyFill="1" applyBorder="1"/>
    <xf numFmtId="166" fontId="8" fillId="0" borderId="17" xfId="0" applyNumberFormat="1" applyFont="1" applyFill="1" applyBorder="1"/>
    <xf numFmtId="166" fontId="8" fillId="0" borderId="6" xfId="0" applyNumberFormat="1" applyFont="1" applyBorder="1" applyAlignment="1">
      <alignment wrapText="1"/>
    </xf>
    <xf numFmtId="166" fontId="19" fillId="0" borderId="13" xfId="0" applyNumberFormat="1" applyFont="1" applyBorder="1" applyAlignment="1">
      <alignment horizontal="right" vertical="top" wrapText="1"/>
    </xf>
    <xf numFmtId="166" fontId="19" fillId="0" borderId="27" xfId="0" applyNumberFormat="1" applyFont="1" applyBorder="1" applyAlignment="1">
      <alignment horizontal="right" vertical="top" wrapText="1"/>
    </xf>
    <xf numFmtId="166" fontId="19" fillId="0" borderId="13" xfId="0" applyNumberFormat="1" applyFont="1" applyBorder="1" applyAlignment="1">
      <alignment horizontal="right" wrapText="1"/>
    </xf>
    <xf numFmtId="166" fontId="19" fillId="0" borderId="24" xfId="2" applyNumberFormat="1" applyFont="1" applyFill="1" applyBorder="1" applyAlignment="1" applyProtection="1">
      <alignment horizontal="right" vertical="center" wrapText="1"/>
    </xf>
    <xf numFmtId="166" fontId="19" fillId="0" borderId="27" xfId="2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1" fillId="0" borderId="0" xfId="0" applyFont="1" applyAlignment="1"/>
    <xf numFmtId="166" fontId="10" fillId="4" borderId="26" xfId="0" applyNumberFormat="1" applyFont="1" applyFill="1" applyBorder="1" applyAlignment="1">
      <alignment horizontal="right"/>
    </xf>
    <xf numFmtId="4" fontId="0" fillId="0" borderId="1" xfId="0" applyNumberFormat="1" applyFill="1" applyBorder="1"/>
    <xf numFmtId="165" fontId="22" fillId="2" borderId="19" xfId="0" applyNumberFormat="1" applyFont="1" applyFill="1" applyBorder="1"/>
    <xf numFmtId="165" fontId="15" fillId="0" borderId="3" xfId="0" applyNumberFormat="1" applyFont="1" applyFill="1" applyBorder="1"/>
    <xf numFmtId="165" fontId="15" fillId="0" borderId="1" xfId="0" applyNumberFormat="1" applyFont="1" applyFill="1" applyBorder="1"/>
    <xf numFmtId="165" fontId="15" fillId="0" borderId="2" xfId="0" applyNumberFormat="1" applyFont="1" applyFill="1" applyBorder="1"/>
    <xf numFmtId="165" fontId="15" fillId="0" borderId="4" xfId="0" applyNumberFormat="1" applyFont="1" applyFill="1" applyBorder="1"/>
    <xf numFmtId="165" fontId="15" fillId="2" borderId="19" xfId="0" applyNumberFormat="1" applyFont="1" applyFill="1" applyBorder="1"/>
    <xf numFmtId="165" fontId="15" fillId="0" borderId="9" xfId="0" applyNumberFormat="1" applyFont="1" applyFill="1" applyBorder="1"/>
    <xf numFmtId="165" fontId="15" fillId="0" borderId="49" xfId="0" applyNumberFormat="1" applyFont="1" applyFill="1" applyBorder="1"/>
    <xf numFmtId="165" fontId="22" fillId="2" borderId="49" xfId="0" applyNumberFormat="1" applyFont="1" applyFill="1" applyBorder="1"/>
    <xf numFmtId="165" fontId="15" fillId="0" borderId="19" xfId="0" applyNumberFormat="1" applyFont="1" applyFill="1" applyBorder="1"/>
    <xf numFmtId="165" fontId="18" fillId="4" borderId="49" xfId="0" applyNumberFormat="1" applyFont="1" applyFill="1" applyBorder="1"/>
    <xf numFmtId="165" fontId="8" fillId="4" borderId="19" xfId="0" applyNumberFormat="1" applyFont="1" applyFill="1" applyBorder="1"/>
    <xf numFmtId="165" fontId="18" fillId="2" borderId="19" xfId="0" applyNumberFormat="1" applyFont="1" applyFill="1" applyBorder="1"/>
    <xf numFmtId="165" fontId="9" fillId="2" borderId="19" xfId="0" applyNumberFormat="1" applyFont="1" applyFill="1" applyBorder="1"/>
    <xf numFmtId="165" fontId="22" fillId="2" borderId="22" xfId="0" applyNumberFormat="1" applyFont="1" applyFill="1" applyBorder="1"/>
    <xf numFmtId="165" fontId="22" fillId="2" borderId="20" xfId="0" applyNumberFormat="1" applyFont="1" applyFill="1" applyBorder="1"/>
    <xf numFmtId="165" fontId="22" fillId="2" borderId="62" xfId="0" applyNumberFormat="1" applyFont="1" applyFill="1" applyBorder="1"/>
    <xf numFmtId="165" fontId="15" fillId="0" borderId="20" xfId="0" applyNumberFormat="1" applyFont="1" applyFill="1" applyBorder="1"/>
    <xf numFmtId="165" fontId="8" fillId="4" borderId="20" xfId="0" applyNumberFormat="1" applyFont="1" applyFill="1" applyBorder="1"/>
    <xf numFmtId="165" fontId="18" fillId="4" borderId="19" xfId="0" applyNumberFormat="1" applyFont="1" applyFill="1" applyBorder="1"/>
    <xf numFmtId="165" fontId="18" fillId="4" borderId="22" xfId="0" applyNumberFormat="1" applyFont="1" applyFill="1" applyBorder="1"/>
    <xf numFmtId="165" fontId="9" fillId="0" borderId="3" xfId="0" applyNumberFormat="1" applyFont="1" applyFill="1" applyBorder="1"/>
    <xf numFmtId="165" fontId="15" fillId="0" borderId="56" xfId="0" applyNumberFormat="1" applyFont="1" applyFill="1" applyBorder="1"/>
    <xf numFmtId="165" fontId="18" fillId="4" borderId="20" xfId="0" applyNumberFormat="1" applyFont="1" applyFill="1" applyBorder="1"/>
    <xf numFmtId="165" fontId="15" fillId="0" borderId="54" xfId="0" applyNumberFormat="1" applyFont="1" applyFill="1" applyBorder="1"/>
    <xf numFmtId="165" fontId="9" fillId="0" borderId="56" xfId="0" applyNumberFormat="1" applyFont="1" applyFill="1" applyBorder="1"/>
    <xf numFmtId="166" fontId="0" fillId="0" borderId="0" xfId="0" applyNumberFormat="1" applyBorder="1"/>
    <xf numFmtId="166" fontId="8" fillId="0" borderId="64" xfId="0" applyNumberFormat="1" applyFont="1" applyFill="1" applyBorder="1"/>
    <xf numFmtId="0" fontId="0" fillId="0" borderId="0" xfId="0" applyAlignment="1"/>
    <xf numFmtId="0" fontId="1" fillId="0" borderId="0" xfId="0" applyFont="1" applyAlignme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39" xfId="1" applyFill="1" applyBorder="1" applyAlignment="1">
      <alignment vertical="top" wrapText="1"/>
    </xf>
    <xf numFmtId="0" fontId="4" fillId="0" borderId="16" xfId="1" applyFill="1" applyBorder="1" applyAlignment="1">
      <alignment vertical="top" wrapText="1"/>
    </xf>
    <xf numFmtId="0" fontId="4" fillId="0" borderId="17" xfId="1" applyFill="1" applyBorder="1" applyAlignment="1">
      <alignment horizontal="center"/>
    </xf>
    <xf numFmtId="0" fontId="4" fillId="0" borderId="32" xfId="1" applyFill="1" applyBorder="1" applyAlignment="1">
      <alignment horizontal="center"/>
    </xf>
    <xf numFmtId="0" fontId="4" fillId="0" borderId="26" xfId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8" fillId="0" borderId="12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64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/>
    </xf>
    <xf numFmtId="0" fontId="15" fillId="0" borderId="7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 wrapText="1"/>
    </xf>
    <xf numFmtId="49" fontId="10" fillId="0" borderId="6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166" fontId="17" fillId="4" borderId="66" xfId="0" applyNumberFormat="1" applyFont="1" applyFill="1" applyBorder="1" applyAlignment="1">
      <alignment horizontal="center" vertical="center"/>
    </xf>
    <xf numFmtId="166" fontId="17" fillId="4" borderId="67" xfId="0" applyNumberFormat="1" applyFont="1" applyFill="1" applyBorder="1" applyAlignment="1">
      <alignment horizontal="center" vertical="center"/>
    </xf>
    <xf numFmtId="166" fontId="17" fillId="4" borderId="68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166" fontId="17" fillId="4" borderId="17" xfId="0" applyNumberFormat="1" applyFont="1" applyFill="1" applyBorder="1" applyAlignment="1">
      <alignment horizontal="center" vertical="center"/>
    </xf>
    <xf numFmtId="166" fontId="17" fillId="4" borderId="32" xfId="0" applyNumberFormat="1" applyFont="1" applyFill="1" applyBorder="1" applyAlignment="1">
      <alignment horizontal="center" vertical="center"/>
    </xf>
    <xf numFmtId="166" fontId="17" fillId="4" borderId="26" xfId="0" applyNumberFormat="1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166" fontId="10" fillId="4" borderId="17" xfId="0" applyNumberFormat="1" applyFont="1" applyFill="1" applyBorder="1" applyAlignment="1">
      <alignment horizontal="right"/>
    </xf>
    <xf numFmtId="166" fontId="10" fillId="4" borderId="26" xfId="0" applyNumberFormat="1" applyFont="1" applyFill="1" applyBorder="1" applyAlignment="1">
      <alignment horizontal="right"/>
    </xf>
    <xf numFmtId="166" fontId="21" fillId="4" borderId="17" xfId="0" applyNumberFormat="1" applyFont="1" applyFill="1" applyBorder="1" applyAlignment="1">
      <alignment horizontal="center" vertical="center"/>
    </xf>
    <xf numFmtId="166" fontId="21" fillId="4" borderId="32" xfId="0" applyNumberFormat="1" applyFont="1" applyFill="1" applyBorder="1" applyAlignment="1">
      <alignment horizontal="center" vertical="center"/>
    </xf>
    <xf numFmtId="166" fontId="21" fillId="4" borderId="26" xfId="0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left" textRotation="90" wrapText="1"/>
    </xf>
    <xf numFmtId="0" fontId="7" fillId="0" borderId="28" xfId="0" applyFont="1" applyBorder="1" applyAlignment="1">
      <alignment horizontal="left" textRotation="90" wrapText="1"/>
    </xf>
    <xf numFmtId="0" fontId="17" fillId="4" borderId="17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</cellXfs>
  <cellStyles count="3">
    <cellStyle name="Įprastas" xfId="0" builtinId="0"/>
    <cellStyle name="Įprastas 2" xfId="1"/>
    <cellStyle name="SvsDataLvl2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I23" sqref="I23"/>
    </sheetView>
  </sheetViews>
  <sheetFormatPr defaultRowHeight="11.25" customHeight="1" x14ac:dyDescent="0.2"/>
  <cols>
    <col min="1" max="1" width="14.28515625" customWidth="1"/>
    <col min="2" max="2" width="48.7109375" customWidth="1"/>
    <col min="4" max="4" width="14.85546875" customWidth="1"/>
    <col min="5" max="5" width="9.140625" customWidth="1"/>
  </cols>
  <sheetData>
    <row r="1" spans="1:4" ht="11.25" customHeight="1" x14ac:dyDescent="0.2">
      <c r="B1" s="443" t="s">
        <v>79</v>
      </c>
      <c r="C1" s="443"/>
      <c r="D1" s="443"/>
    </row>
    <row r="2" spans="1:4" ht="11.25" customHeight="1" x14ac:dyDescent="0.2">
      <c r="B2" s="444" t="s">
        <v>589</v>
      </c>
      <c r="C2" s="443"/>
      <c r="D2" s="443"/>
    </row>
    <row r="3" spans="1:4" ht="11.25" customHeight="1" x14ac:dyDescent="0.2">
      <c r="B3" s="443" t="s">
        <v>80</v>
      </c>
      <c r="C3" s="443"/>
      <c r="D3" s="443"/>
    </row>
    <row r="5" spans="1:4" ht="13.5" customHeight="1" x14ac:dyDescent="0.2">
      <c r="B5" s="1" t="s">
        <v>479</v>
      </c>
    </row>
    <row r="7" spans="1:4" ht="11.25" customHeight="1" thickBot="1" x14ac:dyDescent="0.25">
      <c r="D7" s="2" t="s">
        <v>117</v>
      </c>
    </row>
    <row r="8" spans="1:4" ht="21" customHeight="1" thickBot="1" x14ac:dyDescent="0.25">
      <c r="A8" s="20" t="s">
        <v>372</v>
      </c>
      <c r="B8" s="121" t="s">
        <v>373</v>
      </c>
      <c r="C8" s="121" t="s">
        <v>26</v>
      </c>
      <c r="D8" s="21" t="s">
        <v>0</v>
      </c>
    </row>
    <row r="9" spans="1:4" ht="11.25" customHeight="1" thickBot="1" x14ac:dyDescent="0.25">
      <c r="A9" s="25">
        <v>1</v>
      </c>
      <c r="B9" s="21">
        <v>2</v>
      </c>
      <c r="C9" s="21">
        <v>3</v>
      </c>
      <c r="D9" s="21">
        <v>4</v>
      </c>
    </row>
    <row r="10" spans="1:4" s="1" customFormat="1" ht="11.25" customHeight="1" x14ac:dyDescent="0.2">
      <c r="A10" s="22" t="s">
        <v>1</v>
      </c>
      <c r="B10" s="23" t="s">
        <v>466</v>
      </c>
      <c r="C10" s="24">
        <v>1</v>
      </c>
      <c r="D10" s="42">
        <f>SUM(D11,D13,D17)</f>
        <v>17675000</v>
      </c>
    </row>
    <row r="11" spans="1:4" s="1" customFormat="1" ht="11.25" customHeight="1" x14ac:dyDescent="0.2">
      <c r="A11" s="7" t="s">
        <v>2</v>
      </c>
      <c r="B11" s="8" t="s">
        <v>3</v>
      </c>
      <c r="C11" s="9">
        <v>2</v>
      </c>
      <c r="D11" s="43">
        <f>SUM(D12)</f>
        <v>17191000</v>
      </c>
    </row>
    <row r="12" spans="1:4" ht="11.25" customHeight="1" x14ac:dyDescent="0.2">
      <c r="A12" s="6" t="s">
        <v>439</v>
      </c>
      <c r="B12" s="33" t="s">
        <v>440</v>
      </c>
      <c r="C12" s="11">
        <v>3</v>
      </c>
      <c r="D12" s="44">
        <v>17191000</v>
      </c>
    </row>
    <row r="13" spans="1:4" s="1" customFormat="1" ht="11.25" customHeight="1" x14ac:dyDescent="0.2">
      <c r="A13" s="7" t="s">
        <v>4</v>
      </c>
      <c r="B13" s="8" t="s">
        <v>443</v>
      </c>
      <c r="C13" s="9">
        <v>4</v>
      </c>
      <c r="D13" s="43">
        <f>SUM(D14:D16)</f>
        <v>459000</v>
      </c>
    </row>
    <row r="14" spans="1:4" ht="11.25" customHeight="1" x14ac:dyDescent="0.2">
      <c r="A14" s="6" t="s">
        <v>5</v>
      </c>
      <c r="B14" s="10" t="s">
        <v>6</v>
      </c>
      <c r="C14" s="11">
        <v>5</v>
      </c>
      <c r="D14" s="44">
        <v>400000</v>
      </c>
    </row>
    <row r="15" spans="1:4" ht="11.25" customHeight="1" x14ac:dyDescent="0.2">
      <c r="A15" s="6" t="s">
        <v>7</v>
      </c>
      <c r="B15" s="10" t="s">
        <v>8</v>
      </c>
      <c r="C15" s="11">
        <v>6</v>
      </c>
      <c r="D15" s="44">
        <v>9000</v>
      </c>
    </row>
    <row r="16" spans="1:4" ht="11.25" customHeight="1" x14ac:dyDescent="0.2">
      <c r="A16" s="6" t="s">
        <v>9</v>
      </c>
      <c r="B16" s="10" t="s">
        <v>10</v>
      </c>
      <c r="C16" s="11">
        <v>7</v>
      </c>
      <c r="D16" s="44">
        <v>50000</v>
      </c>
    </row>
    <row r="17" spans="1:5" s="1" customFormat="1" ht="11.25" customHeight="1" x14ac:dyDescent="0.2">
      <c r="A17" s="7" t="s">
        <v>11</v>
      </c>
      <c r="B17" s="8" t="s">
        <v>444</v>
      </c>
      <c r="C17" s="9">
        <v>8</v>
      </c>
      <c r="D17" s="43">
        <f>SUM(D18:D18)</f>
        <v>25000</v>
      </c>
    </row>
    <row r="18" spans="1:5" ht="11.25" customHeight="1" x14ac:dyDescent="0.2">
      <c r="A18" s="6" t="s">
        <v>12</v>
      </c>
      <c r="B18" s="10" t="s">
        <v>441</v>
      </c>
      <c r="C18" s="11">
        <v>9</v>
      </c>
      <c r="D18" s="44">
        <v>25000</v>
      </c>
      <c r="E18" s="48"/>
    </row>
    <row r="19" spans="1:5" s="1" customFormat="1" ht="11.25" customHeight="1" x14ac:dyDescent="0.2">
      <c r="A19" s="7" t="s">
        <v>146</v>
      </c>
      <c r="B19" s="8" t="s">
        <v>462</v>
      </c>
      <c r="C19" s="9">
        <v>10</v>
      </c>
      <c r="D19" s="176">
        <f>SUM(D20,D52,D53)</f>
        <v>12874328.67</v>
      </c>
    </row>
    <row r="20" spans="1:5" ht="18.75" customHeight="1" x14ac:dyDescent="0.2">
      <c r="A20" s="6" t="s">
        <v>14</v>
      </c>
      <c r="B20" s="33" t="s">
        <v>461</v>
      </c>
      <c r="C20" s="11">
        <v>11</v>
      </c>
      <c r="D20" s="45">
        <f>SUM(D21,D44,D45)</f>
        <v>11083294</v>
      </c>
      <c r="E20" s="151"/>
    </row>
    <row r="21" spans="1:5" ht="27" customHeight="1" x14ac:dyDescent="0.2">
      <c r="A21" s="16" t="s">
        <v>15</v>
      </c>
      <c r="B21" s="137" t="s">
        <v>442</v>
      </c>
      <c r="C21" s="18">
        <v>12</v>
      </c>
      <c r="D21" s="45">
        <f>SUM(D22:D43)</f>
        <v>3165788</v>
      </c>
      <c r="E21" s="151"/>
    </row>
    <row r="22" spans="1:5" ht="11.25" customHeight="1" x14ac:dyDescent="0.2">
      <c r="A22" s="16"/>
      <c r="B22" s="139" t="s">
        <v>384</v>
      </c>
      <c r="C22" s="18"/>
      <c r="D22" s="45">
        <v>400</v>
      </c>
      <c r="E22" s="151"/>
    </row>
    <row r="23" spans="1:5" ht="11.25" customHeight="1" x14ac:dyDescent="0.2">
      <c r="A23" s="16"/>
      <c r="B23" s="36" t="s">
        <v>94</v>
      </c>
      <c r="C23" s="18"/>
      <c r="D23" s="45">
        <v>26200</v>
      </c>
      <c r="E23" s="151"/>
    </row>
    <row r="24" spans="1:5" ht="11.25" customHeight="1" x14ac:dyDescent="0.2">
      <c r="A24" s="16"/>
      <c r="B24" s="36" t="s">
        <v>89</v>
      </c>
      <c r="C24" s="18"/>
      <c r="D24" s="44">
        <v>8240</v>
      </c>
      <c r="E24" s="151"/>
    </row>
    <row r="25" spans="1:5" ht="11.25" customHeight="1" x14ac:dyDescent="0.2">
      <c r="A25" s="16"/>
      <c r="B25" s="5" t="s">
        <v>385</v>
      </c>
      <c r="C25" s="18"/>
      <c r="D25" s="45">
        <v>26800</v>
      </c>
      <c r="E25" s="151"/>
    </row>
    <row r="26" spans="1:5" ht="11.25" customHeight="1" x14ac:dyDescent="0.2">
      <c r="A26" s="16"/>
      <c r="B26" s="36" t="s">
        <v>88</v>
      </c>
      <c r="C26" s="18"/>
      <c r="D26" s="45">
        <v>17400</v>
      </c>
      <c r="E26" s="151"/>
    </row>
    <row r="27" spans="1:5" ht="11.25" customHeight="1" x14ac:dyDescent="0.2">
      <c r="A27" s="16"/>
      <c r="B27" s="5" t="s">
        <v>386</v>
      </c>
      <c r="C27" s="18"/>
      <c r="D27" s="45">
        <v>7100</v>
      </c>
      <c r="E27" s="151"/>
    </row>
    <row r="28" spans="1:5" ht="21" customHeight="1" x14ac:dyDescent="0.2">
      <c r="A28" s="16"/>
      <c r="B28" s="37" t="s">
        <v>97</v>
      </c>
      <c r="C28" s="18"/>
      <c r="D28" s="45">
        <v>5000</v>
      </c>
      <c r="E28" s="151"/>
    </row>
    <row r="29" spans="1:5" ht="11.25" customHeight="1" x14ac:dyDescent="0.2">
      <c r="A29" s="16"/>
      <c r="B29" s="5" t="s">
        <v>383</v>
      </c>
      <c r="C29" s="18"/>
      <c r="D29" s="45">
        <v>600</v>
      </c>
      <c r="E29" s="4"/>
    </row>
    <row r="30" spans="1:5" ht="11.25" customHeight="1" x14ac:dyDescent="0.2">
      <c r="A30" s="16"/>
      <c r="B30" s="36" t="s">
        <v>95</v>
      </c>
      <c r="C30" s="18"/>
      <c r="D30" s="45">
        <v>22700</v>
      </c>
      <c r="E30" s="4"/>
    </row>
    <row r="31" spans="1:5" ht="11.25" customHeight="1" x14ac:dyDescent="0.2">
      <c r="A31" s="16"/>
      <c r="B31" s="41" t="s">
        <v>387</v>
      </c>
      <c r="C31" s="18"/>
      <c r="D31" s="44">
        <v>13300</v>
      </c>
      <c r="E31" s="4"/>
    </row>
    <row r="32" spans="1:5" ht="11.25" customHeight="1" x14ac:dyDescent="0.2">
      <c r="A32" s="16"/>
      <c r="B32" s="36" t="s">
        <v>96</v>
      </c>
      <c r="C32" s="18"/>
      <c r="D32" s="45">
        <v>666100</v>
      </c>
      <c r="E32" s="4"/>
    </row>
    <row r="33" spans="1:5" ht="11.25" customHeight="1" x14ac:dyDescent="0.2">
      <c r="A33" s="16"/>
      <c r="B33" s="36" t="s">
        <v>98</v>
      </c>
      <c r="C33" s="18"/>
      <c r="D33" s="45">
        <v>250300</v>
      </c>
      <c r="E33" s="4"/>
    </row>
    <row r="34" spans="1:5" ht="11.25" customHeight="1" x14ac:dyDescent="0.2">
      <c r="A34" s="16"/>
      <c r="B34" s="41" t="s">
        <v>420</v>
      </c>
      <c r="C34" s="18"/>
      <c r="D34" s="45">
        <v>8848</v>
      </c>
      <c r="E34" s="4"/>
    </row>
    <row r="35" spans="1:5" ht="11.25" customHeight="1" x14ac:dyDescent="0.2">
      <c r="A35" s="16"/>
      <c r="B35" s="5" t="s">
        <v>16</v>
      </c>
      <c r="C35" s="18"/>
      <c r="D35" s="45">
        <v>253000</v>
      </c>
      <c r="E35" s="4"/>
    </row>
    <row r="36" spans="1:5" ht="21" customHeight="1" x14ac:dyDescent="0.2">
      <c r="A36" s="16"/>
      <c r="B36" s="5" t="s">
        <v>83</v>
      </c>
      <c r="C36" s="18"/>
      <c r="D36" s="45">
        <v>241900</v>
      </c>
      <c r="E36" s="4"/>
    </row>
    <row r="37" spans="1:5" ht="12.75" customHeight="1" x14ac:dyDescent="0.2">
      <c r="A37" s="16"/>
      <c r="B37" s="5" t="s">
        <v>109</v>
      </c>
      <c r="C37" s="18"/>
      <c r="D37" s="45">
        <v>250500</v>
      </c>
      <c r="E37" s="4"/>
    </row>
    <row r="38" spans="1:5" ht="12.75" customHeight="1" x14ac:dyDescent="0.2">
      <c r="A38" s="16"/>
      <c r="B38" s="41" t="s">
        <v>388</v>
      </c>
      <c r="C38" s="18"/>
      <c r="D38" s="45">
        <v>2400</v>
      </c>
      <c r="E38" s="4"/>
    </row>
    <row r="39" spans="1:5" ht="12.75" hidden="1" customHeight="1" x14ac:dyDescent="0.2">
      <c r="A39" s="16"/>
      <c r="B39" s="173" t="s">
        <v>468</v>
      </c>
      <c r="C39" s="18"/>
      <c r="D39" s="229"/>
      <c r="E39" s="4"/>
    </row>
    <row r="40" spans="1:5" ht="11.25" customHeight="1" x14ac:dyDescent="0.2">
      <c r="A40" s="16"/>
      <c r="B40" s="5" t="s">
        <v>17</v>
      </c>
      <c r="C40" s="18"/>
      <c r="D40" s="45">
        <v>169800</v>
      </c>
      <c r="E40" s="4"/>
    </row>
    <row r="41" spans="1:5" ht="22.5" customHeight="1" x14ac:dyDescent="0.2">
      <c r="A41" s="16"/>
      <c r="B41" s="41" t="s">
        <v>118</v>
      </c>
      <c r="C41" s="18"/>
      <c r="D41" s="45">
        <v>4400</v>
      </c>
      <c r="E41" s="4"/>
    </row>
    <row r="42" spans="1:5" ht="11.25" customHeight="1" x14ac:dyDescent="0.2">
      <c r="A42" s="16"/>
      <c r="B42" s="5" t="s">
        <v>92</v>
      </c>
      <c r="C42" s="18"/>
      <c r="D42" s="45">
        <v>479000</v>
      </c>
      <c r="E42" s="4"/>
    </row>
    <row r="43" spans="1:5" ht="11.25" customHeight="1" x14ac:dyDescent="0.2">
      <c r="A43" s="16"/>
      <c r="B43" s="5" t="s">
        <v>93</v>
      </c>
      <c r="C43" s="18"/>
      <c r="D43" s="45">
        <v>711800</v>
      </c>
      <c r="E43" s="4"/>
    </row>
    <row r="44" spans="1:5" ht="11.25" customHeight="1" x14ac:dyDescent="0.2">
      <c r="A44" s="164"/>
      <c r="B44" s="138" t="s">
        <v>428</v>
      </c>
      <c r="C44" s="17">
        <v>13</v>
      </c>
      <c r="D44" s="44">
        <v>7241600</v>
      </c>
      <c r="E44" s="4"/>
    </row>
    <row r="45" spans="1:5" ht="11.25" customHeight="1" x14ac:dyDescent="0.2">
      <c r="A45" s="165"/>
      <c r="B45" s="167" t="s">
        <v>445</v>
      </c>
      <c r="C45" s="17">
        <v>14</v>
      </c>
      <c r="D45" s="177">
        <f>SUM(D46:D51)</f>
        <v>675906</v>
      </c>
      <c r="E45" s="4"/>
    </row>
    <row r="46" spans="1:5" ht="14.25" customHeight="1" x14ac:dyDescent="0.2">
      <c r="A46" s="16" t="s">
        <v>15</v>
      </c>
      <c r="B46" s="41" t="s">
        <v>480</v>
      </c>
      <c r="C46" s="18"/>
      <c r="D46" s="177">
        <v>29606</v>
      </c>
    </row>
    <row r="47" spans="1:5" ht="14.25" customHeight="1" x14ac:dyDescent="0.2">
      <c r="A47" s="16"/>
      <c r="B47" s="168" t="s">
        <v>482</v>
      </c>
      <c r="C47" s="18"/>
      <c r="D47" s="177">
        <v>29000</v>
      </c>
    </row>
    <row r="48" spans="1:5" ht="20.25" customHeight="1" x14ac:dyDescent="0.2">
      <c r="A48" s="16"/>
      <c r="B48" s="168" t="s">
        <v>99</v>
      </c>
      <c r="C48" s="18"/>
      <c r="D48" s="219">
        <v>408500</v>
      </c>
    </row>
    <row r="49" spans="1:5" ht="16.5" customHeight="1" x14ac:dyDescent="0.2">
      <c r="A49" s="16"/>
      <c r="B49" s="41" t="s">
        <v>491</v>
      </c>
      <c r="C49" s="18"/>
      <c r="D49" s="220">
        <v>75600</v>
      </c>
    </row>
    <row r="50" spans="1:5" ht="16.5" hidden="1" customHeight="1" x14ac:dyDescent="0.2">
      <c r="A50" s="16"/>
      <c r="B50" s="173"/>
      <c r="C50" s="18"/>
      <c r="D50" s="243"/>
    </row>
    <row r="51" spans="1:5" ht="15" customHeight="1" x14ac:dyDescent="0.2">
      <c r="A51" s="166"/>
      <c r="B51" s="168" t="s">
        <v>389</v>
      </c>
      <c r="C51" s="39"/>
      <c r="D51" s="220">
        <v>133200</v>
      </c>
    </row>
    <row r="52" spans="1:5" ht="39" customHeight="1" x14ac:dyDescent="0.2">
      <c r="A52" s="172" t="s">
        <v>446</v>
      </c>
      <c r="B52" s="141" t="s">
        <v>493</v>
      </c>
      <c r="C52" s="18">
        <v>15</v>
      </c>
      <c r="D52" s="414">
        <v>1780950.67</v>
      </c>
      <c r="E52" s="123"/>
    </row>
    <row r="53" spans="1:5" ht="39" customHeight="1" x14ac:dyDescent="0.2">
      <c r="A53" s="163" t="s">
        <v>460</v>
      </c>
      <c r="B53" s="33" t="s">
        <v>447</v>
      </c>
      <c r="C53" s="445">
        <v>16</v>
      </c>
      <c r="D53" s="45">
        <f>SUM(D54:D56)</f>
        <v>10084</v>
      </c>
    </row>
    <row r="54" spans="1:5" ht="17.25" customHeight="1" x14ac:dyDescent="0.2">
      <c r="A54" s="142" t="s">
        <v>15</v>
      </c>
      <c r="B54" s="169" t="s">
        <v>556</v>
      </c>
      <c r="C54" s="446"/>
      <c r="D54" s="261">
        <v>10084</v>
      </c>
    </row>
    <row r="55" spans="1:5" ht="13.5" hidden="1" customHeight="1" x14ac:dyDescent="0.2">
      <c r="A55" s="170"/>
      <c r="B55" s="169" t="s">
        <v>459</v>
      </c>
      <c r="C55" s="446"/>
      <c r="D55" s="158"/>
    </row>
    <row r="56" spans="1:5" ht="15" hidden="1" customHeight="1" x14ac:dyDescent="0.2">
      <c r="A56" s="171"/>
      <c r="B56" s="162"/>
      <c r="C56" s="447"/>
      <c r="D56" s="174"/>
    </row>
    <row r="57" spans="1:5" s="1" customFormat="1" ht="11.25" customHeight="1" x14ac:dyDescent="0.2">
      <c r="A57" s="7" t="s">
        <v>18</v>
      </c>
      <c r="B57" s="8" t="s">
        <v>464</v>
      </c>
      <c r="C57" s="24">
        <v>17</v>
      </c>
      <c r="D57" s="119">
        <f>SUM(D58,D63,D67,D70,D71)</f>
        <v>2022100</v>
      </c>
    </row>
    <row r="58" spans="1:5" s="1" customFormat="1" ht="11.25" customHeight="1" x14ac:dyDescent="0.2">
      <c r="A58" s="7" t="s">
        <v>19</v>
      </c>
      <c r="B58" s="8" t="s">
        <v>415</v>
      </c>
      <c r="C58" s="9">
        <v>18</v>
      </c>
      <c r="D58" s="46">
        <f>SUM(D59,D60)</f>
        <v>160000</v>
      </c>
    </row>
    <row r="59" spans="1:5" ht="25.5" customHeight="1" x14ac:dyDescent="0.2">
      <c r="A59" s="159" t="s">
        <v>448</v>
      </c>
      <c r="B59" s="33" t="s">
        <v>20</v>
      </c>
      <c r="C59" s="11">
        <v>19</v>
      </c>
      <c r="D59" s="45">
        <v>110000</v>
      </c>
    </row>
    <row r="60" spans="1:5" ht="11.25" customHeight="1" x14ac:dyDescent="0.2">
      <c r="A60" s="7" t="s">
        <v>437</v>
      </c>
      <c r="B60" s="8" t="s">
        <v>416</v>
      </c>
      <c r="C60" s="9">
        <v>20</v>
      </c>
      <c r="D60" s="46">
        <f>SUM(D61:D62)</f>
        <v>50000</v>
      </c>
    </row>
    <row r="61" spans="1:5" ht="11.25" customHeight="1" x14ac:dyDescent="0.2">
      <c r="A61" s="159" t="s">
        <v>435</v>
      </c>
      <c r="B61" s="33" t="s">
        <v>449</v>
      </c>
      <c r="C61" s="11">
        <v>21</v>
      </c>
      <c r="D61" s="45">
        <v>15000</v>
      </c>
    </row>
    <row r="62" spans="1:5" ht="11.25" customHeight="1" x14ac:dyDescent="0.2">
      <c r="A62" s="159" t="s">
        <v>436</v>
      </c>
      <c r="B62" s="33" t="s">
        <v>86</v>
      </c>
      <c r="C62" s="11">
        <v>22</v>
      </c>
      <c r="D62" s="45">
        <v>35000</v>
      </c>
    </row>
    <row r="63" spans="1:5" s="1" customFormat="1" ht="11.25" customHeight="1" x14ac:dyDescent="0.2">
      <c r="A63" s="27" t="s">
        <v>21</v>
      </c>
      <c r="B63" s="31" t="s">
        <v>417</v>
      </c>
      <c r="C63" s="34">
        <v>23</v>
      </c>
      <c r="D63" s="43">
        <f>SUM(D64:D66)</f>
        <v>992100</v>
      </c>
    </row>
    <row r="64" spans="1:5" ht="11.25" customHeight="1" x14ac:dyDescent="0.2">
      <c r="A64" s="159" t="s">
        <v>452</v>
      </c>
      <c r="B64" s="33" t="s">
        <v>450</v>
      </c>
      <c r="C64" s="13">
        <v>24</v>
      </c>
      <c r="D64" s="45">
        <f>SUM('sp.p.-2'!D53)</f>
        <v>125800</v>
      </c>
    </row>
    <row r="65" spans="1:4" ht="24.75" customHeight="1" x14ac:dyDescent="0.2">
      <c r="A65" s="159" t="s">
        <v>453</v>
      </c>
      <c r="B65" s="33" t="s">
        <v>451</v>
      </c>
      <c r="C65" s="13">
        <v>25</v>
      </c>
      <c r="D65" s="45">
        <f>SUM('sp.p.-2'!E53)</f>
        <v>108500</v>
      </c>
    </row>
    <row r="66" spans="1:4" ht="25.5" customHeight="1" x14ac:dyDescent="0.2">
      <c r="A66" s="159" t="s">
        <v>454</v>
      </c>
      <c r="B66" s="10" t="s">
        <v>22</v>
      </c>
      <c r="C66" s="120">
        <v>26</v>
      </c>
      <c r="D66" s="45">
        <f>SUM('sp.p.-2'!F53)</f>
        <v>757800</v>
      </c>
    </row>
    <row r="67" spans="1:4" ht="17.25" customHeight="1" x14ac:dyDescent="0.2">
      <c r="A67" s="7" t="s">
        <v>455</v>
      </c>
      <c r="B67" s="8" t="s">
        <v>463</v>
      </c>
      <c r="C67" s="34">
        <v>27</v>
      </c>
      <c r="D67" s="45">
        <f>SUM(D68:D69)</f>
        <v>855000</v>
      </c>
    </row>
    <row r="68" spans="1:4" ht="15" customHeight="1" x14ac:dyDescent="0.2">
      <c r="A68" s="159" t="s">
        <v>456</v>
      </c>
      <c r="B68" s="10" t="s">
        <v>13</v>
      </c>
      <c r="C68" s="120">
        <v>28</v>
      </c>
      <c r="D68" s="45">
        <v>45000</v>
      </c>
    </row>
    <row r="69" spans="1:4" ht="16.5" customHeight="1" x14ac:dyDescent="0.2">
      <c r="A69" s="159" t="s">
        <v>457</v>
      </c>
      <c r="B69" s="28" t="s">
        <v>382</v>
      </c>
      <c r="C69" s="120">
        <v>29</v>
      </c>
      <c r="D69" s="45">
        <v>810000</v>
      </c>
    </row>
    <row r="70" spans="1:4" s="1" customFormat="1" ht="11.25" customHeight="1" x14ac:dyDescent="0.2">
      <c r="A70" s="7" t="s">
        <v>23</v>
      </c>
      <c r="B70" s="8" t="s">
        <v>24</v>
      </c>
      <c r="C70" s="9">
        <v>30</v>
      </c>
      <c r="D70" s="46">
        <v>5000</v>
      </c>
    </row>
    <row r="71" spans="1:4" s="1" customFormat="1" ht="11.25" customHeight="1" x14ac:dyDescent="0.2">
      <c r="A71" s="7" t="s">
        <v>438</v>
      </c>
      <c r="B71" s="8" t="s">
        <v>77</v>
      </c>
      <c r="C71" s="9">
        <v>31</v>
      </c>
      <c r="D71" s="46">
        <v>10000</v>
      </c>
    </row>
    <row r="72" spans="1:4" s="1" customFormat="1" ht="25.5" customHeight="1" x14ac:dyDescent="0.2">
      <c r="A72" s="7" t="s">
        <v>101</v>
      </c>
      <c r="B72" s="8" t="s">
        <v>465</v>
      </c>
      <c r="C72" s="9">
        <v>32</v>
      </c>
      <c r="D72" s="46">
        <f>SUM(D73:D74)</f>
        <v>59000</v>
      </c>
    </row>
    <row r="73" spans="1:4" s="1" customFormat="1" ht="12.75" customHeight="1" x14ac:dyDescent="0.2">
      <c r="A73" s="12" t="s">
        <v>364</v>
      </c>
      <c r="B73" s="33" t="s">
        <v>458</v>
      </c>
      <c r="C73" s="13">
        <v>33</v>
      </c>
      <c r="D73" s="47">
        <v>8000</v>
      </c>
    </row>
    <row r="74" spans="1:4" s="1" customFormat="1" ht="24" customHeight="1" x14ac:dyDescent="0.2">
      <c r="A74" s="33" t="s">
        <v>470</v>
      </c>
      <c r="B74" s="33" t="s">
        <v>469</v>
      </c>
      <c r="C74" s="13">
        <v>34</v>
      </c>
      <c r="D74" s="47">
        <v>51000</v>
      </c>
    </row>
    <row r="75" spans="1:4" s="1" customFormat="1" ht="13.5" customHeight="1" x14ac:dyDescent="0.2">
      <c r="A75" s="112"/>
      <c r="B75" s="113" t="s">
        <v>467</v>
      </c>
      <c r="C75" s="114">
        <v>35</v>
      </c>
      <c r="D75" s="179">
        <f>SUM(D10,D19,D57,D72)</f>
        <v>32630428.670000002</v>
      </c>
    </row>
    <row r="76" spans="1:4" ht="26.25" customHeight="1" x14ac:dyDescent="0.2">
      <c r="A76" s="50" t="s">
        <v>123</v>
      </c>
      <c r="B76" s="54" t="s">
        <v>390</v>
      </c>
      <c r="C76" s="34">
        <v>36</v>
      </c>
      <c r="D76" s="180">
        <f>SUM(D77:D81)</f>
        <v>882157.13</v>
      </c>
    </row>
    <row r="77" spans="1:4" ht="17.25" customHeight="1" x14ac:dyDescent="0.2">
      <c r="A77" s="51" t="s">
        <v>124</v>
      </c>
      <c r="B77" s="51" t="s">
        <v>120</v>
      </c>
      <c r="C77" s="120">
        <v>37</v>
      </c>
      <c r="D77" s="218">
        <f>1600+25630.93+18008+1159.23+440598.61+2000</f>
        <v>488996.77</v>
      </c>
    </row>
    <row r="78" spans="1:4" ht="17.25" customHeight="1" x14ac:dyDescent="0.2">
      <c r="A78" s="51" t="s">
        <v>125</v>
      </c>
      <c r="B78" s="52" t="s">
        <v>121</v>
      </c>
      <c r="C78" s="120">
        <v>38</v>
      </c>
      <c r="D78" s="181">
        <v>97570.17</v>
      </c>
    </row>
    <row r="79" spans="1:4" ht="17.25" customHeight="1" x14ac:dyDescent="0.2">
      <c r="A79" s="51" t="s">
        <v>126</v>
      </c>
      <c r="B79" s="52" t="s">
        <v>122</v>
      </c>
      <c r="C79" s="120">
        <v>39</v>
      </c>
      <c r="D79" s="218">
        <f>46851.86-2000</f>
        <v>44851.86</v>
      </c>
    </row>
    <row r="80" spans="1:4" ht="24" customHeight="1" x14ac:dyDescent="0.2">
      <c r="A80" s="51" t="s">
        <v>175</v>
      </c>
      <c r="B80" s="141" t="s">
        <v>402</v>
      </c>
      <c r="C80" s="120">
        <v>40</v>
      </c>
      <c r="D80" s="218">
        <v>240185.72</v>
      </c>
    </row>
    <row r="81" spans="1:4" ht="17.25" customHeight="1" x14ac:dyDescent="0.2">
      <c r="A81" s="51" t="s">
        <v>176</v>
      </c>
      <c r="B81" s="52" t="s">
        <v>403</v>
      </c>
      <c r="C81" s="120">
        <v>41</v>
      </c>
      <c r="D81" s="218">
        <v>10552.61</v>
      </c>
    </row>
    <row r="82" spans="1:4" ht="14.25" customHeight="1" x14ac:dyDescent="0.2">
      <c r="A82" s="7" t="s">
        <v>127</v>
      </c>
      <c r="B82" s="53" t="s">
        <v>413</v>
      </c>
      <c r="C82" s="34">
        <v>42</v>
      </c>
      <c r="D82" s="176">
        <f>310895.76+793200</f>
        <v>1104095.76</v>
      </c>
    </row>
    <row r="83" spans="1:4" ht="24" customHeight="1" x14ac:dyDescent="0.2">
      <c r="A83" s="55"/>
      <c r="B83" s="57" t="s">
        <v>391</v>
      </c>
      <c r="C83" s="56">
        <v>43</v>
      </c>
      <c r="D83" s="182">
        <f>SUM(D75:D76,D82)</f>
        <v>34616681.560000002</v>
      </c>
    </row>
    <row r="84" spans="1:4" ht="11.25" customHeight="1" x14ac:dyDescent="0.2">
      <c r="B84" s="3" t="s">
        <v>494</v>
      </c>
      <c r="D84" s="130">
        <v>700000</v>
      </c>
    </row>
    <row r="85" spans="1:4" ht="11.25" customHeight="1" x14ac:dyDescent="0.2">
      <c r="B85" s="19"/>
    </row>
    <row r="86" spans="1:4" ht="11.25" customHeight="1" x14ac:dyDescent="0.2">
      <c r="B86" s="3"/>
    </row>
    <row r="87" spans="1:4" ht="11.25" customHeight="1" x14ac:dyDescent="0.2">
      <c r="B87" s="3"/>
    </row>
    <row r="88" spans="1:4" ht="11.25" customHeight="1" x14ac:dyDescent="0.2">
      <c r="B88" s="3"/>
    </row>
    <row r="89" spans="1:4" ht="11.25" customHeight="1" x14ac:dyDescent="0.2">
      <c r="B89" s="3"/>
    </row>
    <row r="90" spans="1:4" ht="11.25" customHeight="1" x14ac:dyDescent="0.2">
      <c r="B90" s="3"/>
    </row>
    <row r="91" spans="1:4" ht="11.25" customHeight="1" x14ac:dyDescent="0.2">
      <c r="B91" s="3"/>
    </row>
  </sheetData>
  <mergeCells count="4">
    <mergeCell ref="B1:D1"/>
    <mergeCell ref="B2:D2"/>
    <mergeCell ref="B3:D3"/>
    <mergeCell ref="C53:C56"/>
  </mergeCells>
  <phoneticPr fontId="2" type="noConversion"/>
  <pageMargins left="1.1811023622047245" right="0.39370078740157483" top="0.51181102362204722" bottom="0.35433070866141736" header="0" footer="0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I14" sqref="I14"/>
    </sheetView>
  </sheetViews>
  <sheetFormatPr defaultRowHeight="12.75" x14ac:dyDescent="0.2"/>
  <cols>
    <col min="1" max="1" width="5.42578125" customWidth="1"/>
    <col min="2" max="2" width="32.28515625" customWidth="1"/>
    <col min="3" max="3" width="10.7109375" customWidth="1"/>
    <col min="4" max="4" width="10.140625" style="32" customWidth="1"/>
    <col min="5" max="5" width="10.28515625" style="32" customWidth="1"/>
    <col min="6" max="6" width="16.85546875" style="32" customWidth="1"/>
  </cols>
  <sheetData>
    <row r="1" spans="1:6" ht="12" customHeight="1" x14ac:dyDescent="0.2">
      <c r="C1" s="443" t="s">
        <v>358</v>
      </c>
      <c r="D1" s="443"/>
      <c r="E1" s="443"/>
      <c r="F1" s="443"/>
    </row>
    <row r="2" spans="1:6" ht="14.25" customHeight="1" x14ac:dyDescent="0.2">
      <c r="C2" s="444" t="s">
        <v>590</v>
      </c>
      <c r="D2" s="443"/>
      <c r="E2" s="443"/>
      <c r="F2" s="443"/>
    </row>
    <row r="3" spans="1:6" ht="12" customHeight="1" x14ac:dyDescent="0.2">
      <c r="C3" s="443" t="s">
        <v>359</v>
      </c>
      <c r="D3" s="443"/>
      <c r="E3" s="443"/>
      <c r="F3" s="443"/>
    </row>
    <row r="4" spans="1:6" ht="18.75" customHeight="1" x14ac:dyDescent="0.2"/>
    <row r="5" spans="1:6" ht="27" customHeight="1" x14ac:dyDescent="0.2">
      <c r="B5" s="448" t="s">
        <v>481</v>
      </c>
      <c r="C5" s="448"/>
      <c r="D5" s="448"/>
      <c r="E5" s="448"/>
      <c r="F5" s="448"/>
    </row>
    <row r="6" spans="1:6" ht="6" customHeight="1" x14ac:dyDescent="0.2"/>
    <row r="7" spans="1:6" ht="13.5" thickBot="1" x14ac:dyDescent="0.25">
      <c r="F7" s="122" t="s">
        <v>117</v>
      </c>
    </row>
    <row r="8" spans="1:6" ht="13.5" customHeight="1" thickBot="1" x14ac:dyDescent="0.25">
      <c r="A8" s="449" t="s">
        <v>26</v>
      </c>
      <c r="B8" s="115" t="s">
        <v>107</v>
      </c>
      <c r="C8" s="115" t="s">
        <v>27</v>
      </c>
      <c r="D8" s="451" t="s">
        <v>15</v>
      </c>
      <c r="E8" s="452"/>
      <c r="F8" s="453"/>
    </row>
    <row r="9" spans="1:6" ht="54.75" customHeight="1" thickBot="1" x14ac:dyDescent="0.25">
      <c r="A9" s="450"/>
      <c r="B9" s="116"/>
      <c r="C9" s="116"/>
      <c r="D9" s="60" t="s">
        <v>87</v>
      </c>
      <c r="E9" s="156" t="s">
        <v>81</v>
      </c>
      <c r="F9" s="156" t="s">
        <v>90</v>
      </c>
    </row>
    <row r="10" spans="1:6" ht="14.25" customHeight="1" x14ac:dyDescent="0.2">
      <c r="A10" s="117">
        <v>1</v>
      </c>
      <c r="B10" s="63" t="s">
        <v>28</v>
      </c>
      <c r="C10" s="178">
        <f>D10+E10+F10</f>
        <v>75000</v>
      </c>
      <c r="D10" s="61"/>
      <c r="E10" s="61">
        <v>75000</v>
      </c>
      <c r="F10" s="61"/>
    </row>
    <row r="11" spans="1:6" ht="14.25" customHeight="1" x14ac:dyDescent="0.2">
      <c r="A11" s="117">
        <v>2</v>
      </c>
      <c r="B11" s="157" t="s">
        <v>56</v>
      </c>
      <c r="C11" s="178">
        <f>D11+E11+F11</f>
        <v>2700</v>
      </c>
      <c r="D11" s="61">
        <v>2700</v>
      </c>
      <c r="E11" s="61"/>
      <c r="F11" s="61"/>
    </row>
    <row r="12" spans="1:6" ht="14.25" customHeight="1" x14ac:dyDescent="0.2">
      <c r="A12" s="117">
        <v>3</v>
      </c>
      <c r="B12" s="63" t="s">
        <v>41</v>
      </c>
      <c r="C12" s="178">
        <f t="shared" ref="C12:C52" si="0">D12+E12+F12</f>
        <v>100</v>
      </c>
      <c r="D12" s="61"/>
      <c r="E12" s="61">
        <v>100</v>
      </c>
      <c r="F12" s="61"/>
    </row>
    <row r="13" spans="1:6" x14ac:dyDescent="0.2">
      <c r="A13" s="117">
        <v>4</v>
      </c>
      <c r="B13" s="59" t="s">
        <v>29</v>
      </c>
      <c r="C13" s="178">
        <f t="shared" si="0"/>
        <v>5800</v>
      </c>
      <c r="D13" s="62">
        <v>3100</v>
      </c>
      <c r="E13" s="62">
        <v>2700</v>
      </c>
      <c r="F13" s="62"/>
    </row>
    <row r="14" spans="1:6" x14ac:dyDescent="0.2">
      <c r="A14" s="117">
        <v>5</v>
      </c>
      <c r="B14" s="59" t="s">
        <v>30</v>
      </c>
      <c r="C14" s="178">
        <f t="shared" si="0"/>
        <v>500</v>
      </c>
      <c r="D14" s="62"/>
      <c r="E14" s="62">
        <v>500</v>
      </c>
      <c r="F14" s="62"/>
    </row>
    <row r="15" spans="1:6" x14ac:dyDescent="0.2">
      <c r="A15" s="117">
        <v>6</v>
      </c>
      <c r="B15" s="59" t="s">
        <v>31</v>
      </c>
      <c r="C15" s="178">
        <f t="shared" si="0"/>
        <v>3200</v>
      </c>
      <c r="D15" s="62">
        <v>2500</v>
      </c>
      <c r="E15" s="62">
        <v>700</v>
      </c>
      <c r="F15" s="62"/>
    </row>
    <row r="16" spans="1:6" x14ac:dyDescent="0.2">
      <c r="A16" s="117">
        <v>7</v>
      </c>
      <c r="B16" s="59" t="s">
        <v>32</v>
      </c>
      <c r="C16" s="178">
        <f t="shared" si="0"/>
        <v>5500</v>
      </c>
      <c r="D16" s="62">
        <v>4300</v>
      </c>
      <c r="E16" s="62">
        <v>1200</v>
      </c>
      <c r="F16" s="62"/>
    </row>
    <row r="17" spans="1:6" x14ac:dyDescent="0.2">
      <c r="A17" s="117">
        <v>8</v>
      </c>
      <c r="B17" s="59" t="s">
        <v>42</v>
      </c>
      <c r="C17" s="178">
        <f t="shared" si="0"/>
        <v>1200</v>
      </c>
      <c r="D17" s="62"/>
      <c r="E17" s="62">
        <v>1200</v>
      </c>
      <c r="F17" s="62"/>
    </row>
    <row r="18" spans="1:6" x14ac:dyDescent="0.2">
      <c r="A18" s="117">
        <v>9</v>
      </c>
      <c r="B18" s="59" t="s">
        <v>43</v>
      </c>
      <c r="C18" s="178">
        <f t="shared" si="0"/>
        <v>800</v>
      </c>
      <c r="D18" s="62"/>
      <c r="E18" s="62">
        <v>800</v>
      </c>
      <c r="F18" s="62"/>
    </row>
    <row r="19" spans="1:6" x14ac:dyDescent="0.2">
      <c r="A19" s="117">
        <v>10</v>
      </c>
      <c r="B19" s="59" t="s">
        <v>44</v>
      </c>
      <c r="C19" s="178">
        <f t="shared" si="0"/>
        <v>600</v>
      </c>
      <c r="D19" s="62"/>
      <c r="E19" s="62">
        <v>600</v>
      </c>
      <c r="F19" s="62"/>
    </row>
    <row r="20" spans="1:6" x14ac:dyDescent="0.2">
      <c r="A20" s="117">
        <v>11</v>
      </c>
      <c r="B20" s="59" t="s">
        <v>45</v>
      </c>
      <c r="C20" s="178">
        <f t="shared" si="0"/>
        <v>600</v>
      </c>
      <c r="D20" s="62"/>
      <c r="E20" s="62">
        <v>600</v>
      </c>
      <c r="F20" s="62"/>
    </row>
    <row r="21" spans="1:6" x14ac:dyDescent="0.2">
      <c r="A21" s="117">
        <v>12</v>
      </c>
      <c r="B21" s="59" t="s">
        <v>46</v>
      </c>
      <c r="C21" s="178">
        <f t="shared" si="0"/>
        <v>1600</v>
      </c>
      <c r="D21" s="62"/>
      <c r="E21" s="62">
        <v>1600</v>
      </c>
      <c r="F21" s="62"/>
    </row>
    <row r="22" spans="1:6" ht="25.5" x14ac:dyDescent="0.2">
      <c r="A22" s="117">
        <v>13</v>
      </c>
      <c r="B22" s="58" t="s">
        <v>91</v>
      </c>
      <c r="C22" s="178">
        <f t="shared" si="0"/>
        <v>1000</v>
      </c>
      <c r="D22" s="62">
        <v>1000</v>
      </c>
      <c r="E22" s="62"/>
      <c r="F22" s="62"/>
    </row>
    <row r="23" spans="1:6" x14ac:dyDescent="0.2">
      <c r="A23" s="117">
        <v>14</v>
      </c>
      <c r="B23" s="59" t="s">
        <v>33</v>
      </c>
      <c r="C23" s="178">
        <f t="shared" si="0"/>
        <v>10000</v>
      </c>
      <c r="D23" s="62">
        <v>10000</v>
      </c>
      <c r="E23" s="62"/>
      <c r="F23" s="62"/>
    </row>
    <row r="24" spans="1:6" x14ac:dyDescent="0.2">
      <c r="A24" s="117">
        <v>15</v>
      </c>
      <c r="B24" s="59" t="s">
        <v>34</v>
      </c>
      <c r="C24" s="178">
        <f t="shared" si="0"/>
        <v>15000</v>
      </c>
      <c r="D24" s="62">
        <v>15000</v>
      </c>
      <c r="E24" s="62"/>
      <c r="F24" s="62"/>
    </row>
    <row r="25" spans="1:6" x14ac:dyDescent="0.2">
      <c r="A25" s="117">
        <v>16</v>
      </c>
      <c r="B25" s="59" t="s">
        <v>36</v>
      </c>
      <c r="C25" s="178">
        <f t="shared" si="0"/>
        <v>1000</v>
      </c>
      <c r="D25" s="62">
        <v>500</v>
      </c>
      <c r="E25" s="62">
        <v>500</v>
      </c>
      <c r="F25" s="62"/>
    </row>
    <row r="26" spans="1:6" x14ac:dyDescent="0.2">
      <c r="A26" s="117">
        <v>17</v>
      </c>
      <c r="B26" s="59" t="s">
        <v>37</v>
      </c>
      <c r="C26" s="178">
        <f t="shared" si="0"/>
        <v>1400</v>
      </c>
      <c r="D26" s="62">
        <v>1200</v>
      </c>
      <c r="E26" s="62">
        <v>200</v>
      </c>
      <c r="F26" s="62"/>
    </row>
    <row r="27" spans="1:6" x14ac:dyDescent="0.2">
      <c r="A27" s="117">
        <v>18</v>
      </c>
      <c r="B27" s="59" t="s">
        <v>360</v>
      </c>
      <c r="C27" s="178">
        <f t="shared" si="0"/>
        <v>300</v>
      </c>
      <c r="D27" s="62">
        <v>300</v>
      </c>
      <c r="E27" s="62"/>
      <c r="F27" s="62"/>
    </row>
    <row r="28" spans="1:6" ht="25.5" x14ac:dyDescent="0.2">
      <c r="A28" s="117">
        <v>19</v>
      </c>
      <c r="B28" s="58" t="s">
        <v>78</v>
      </c>
      <c r="C28" s="178">
        <f t="shared" si="0"/>
        <v>4000</v>
      </c>
      <c r="D28" s="62">
        <v>2000</v>
      </c>
      <c r="E28" s="62">
        <v>2000</v>
      </c>
      <c r="F28" s="62"/>
    </row>
    <row r="29" spans="1:6" x14ac:dyDescent="0.2">
      <c r="A29" s="117">
        <v>20</v>
      </c>
      <c r="B29" s="59" t="s">
        <v>38</v>
      </c>
      <c r="C29" s="178">
        <f t="shared" si="0"/>
        <v>300</v>
      </c>
      <c r="D29" s="62">
        <v>300</v>
      </c>
      <c r="E29" s="62"/>
      <c r="F29" s="62"/>
    </row>
    <row r="30" spans="1:6" x14ac:dyDescent="0.2">
      <c r="A30" s="117">
        <v>21</v>
      </c>
      <c r="B30" s="59" t="s">
        <v>35</v>
      </c>
      <c r="C30" s="178">
        <f t="shared" si="0"/>
        <v>15000</v>
      </c>
      <c r="D30" s="62">
        <v>10000</v>
      </c>
      <c r="E30" s="62">
        <v>5000</v>
      </c>
      <c r="F30" s="62"/>
    </row>
    <row r="31" spans="1:6" x14ac:dyDescent="0.2">
      <c r="A31" s="117">
        <v>22</v>
      </c>
      <c r="B31" s="59" t="s">
        <v>70</v>
      </c>
      <c r="C31" s="178">
        <f t="shared" si="0"/>
        <v>4000</v>
      </c>
      <c r="D31" s="62">
        <v>4000</v>
      </c>
      <c r="E31" s="62"/>
      <c r="F31" s="62"/>
    </row>
    <row r="32" spans="1:6" x14ac:dyDescent="0.2">
      <c r="A32" s="117">
        <v>23</v>
      </c>
      <c r="B32" s="148" t="s">
        <v>400</v>
      </c>
      <c r="C32" s="178">
        <f t="shared" si="0"/>
        <v>3100</v>
      </c>
      <c r="D32" s="62">
        <v>2500</v>
      </c>
      <c r="E32" s="62">
        <v>600</v>
      </c>
      <c r="F32" s="62"/>
    </row>
    <row r="33" spans="1:6" ht="25.5" x14ac:dyDescent="0.2">
      <c r="A33" s="117">
        <v>24</v>
      </c>
      <c r="B33" s="149" t="s">
        <v>394</v>
      </c>
      <c r="C33" s="178">
        <f t="shared" si="0"/>
        <v>1600</v>
      </c>
      <c r="D33" s="62">
        <v>1200</v>
      </c>
      <c r="E33" s="62">
        <v>400</v>
      </c>
      <c r="F33" s="62"/>
    </row>
    <row r="34" spans="1:6" x14ac:dyDescent="0.2">
      <c r="A34" s="117">
        <v>25</v>
      </c>
      <c r="B34" s="59" t="s">
        <v>39</v>
      </c>
      <c r="C34" s="178">
        <f t="shared" si="0"/>
        <v>12700</v>
      </c>
      <c r="D34" s="62">
        <v>1100</v>
      </c>
      <c r="E34" s="62">
        <v>2100</v>
      </c>
      <c r="F34" s="62">
        <v>9500</v>
      </c>
    </row>
    <row r="35" spans="1:6" x14ac:dyDescent="0.2">
      <c r="A35" s="117">
        <v>26</v>
      </c>
      <c r="B35" s="59" t="s">
        <v>113</v>
      </c>
      <c r="C35" s="178">
        <f t="shared" si="0"/>
        <v>8500</v>
      </c>
      <c r="D35" s="62">
        <v>1000</v>
      </c>
      <c r="E35" s="62">
        <v>5500</v>
      </c>
      <c r="F35" s="62">
        <v>2000</v>
      </c>
    </row>
    <row r="36" spans="1:6" x14ac:dyDescent="0.2">
      <c r="A36" s="117">
        <v>27</v>
      </c>
      <c r="B36" s="59" t="s">
        <v>361</v>
      </c>
      <c r="C36" s="178">
        <f t="shared" si="0"/>
        <v>3000</v>
      </c>
      <c r="D36" s="62">
        <v>500</v>
      </c>
      <c r="E36" s="62">
        <v>2500</v>
      </c>
      <c r="F36" s="62"/>
    </row>
    <row r="37" spans="1:6" ht="25.5" x14ac:dyDescent="0.2">
      <c r="A37" s="117">
        <v>28</v>
      </c>
      <c r="B37" s="58" t="s">
        <v>119</v>
      </c>
      <c r="C37" s="178">
        <f t="shared" si="0"/>
        <v>13000</v>
      </c>
      <c r="D37" s="62">
        <v>700</v>
      </c>
      <c r="E37" s="62">
        <v>900</v>
      </c>
      <c r="F37" s="62">
        <v>11400</v>
      </c>
    </row>
    <row r="38" spans="1:6" ht="16.5" customHeight="1" x14ac:dyDescent="0.2">
      <c r="A38" s="117">
        <v>29</v>
      </c>
      <c r="B38" s="58" t="s">
        <v>82</v>
      </c>
      <c r="C38" s="178">
        <f t="shared" si="0"/>
        <v>5100</v>
      </c>
      <c r="D38" s="62">
        <v>100</v>
      </c>
      <c r="E38" s="62">
        <v>1000</v>
      </c>
      <c r="F38" s="62">
        <v>4000</v>
      </c>
    </row>
    <row r="39" spans="1:6" ht="25.5" x14ac:dyDescent="0.2">
      <c r="A39" s="117">
        <v>30</v>
      </c>
      <c r="B39" s="58" t="s">
        <v>362</v>
      </c>
      <c r="C39" s="178">
        <f t="shared" si="0"/>
        <v>3700</v>
      </c>
      <c r="D39" s="62">
        <v>1800</v>
      </c>
      <c r="E39" s="62">
        <v>500</v>
      </c>
      <c r="F39" s="62">
        <v>1400</v>
      </c>
    </row>
    <row r="40" spans="1:6" ht="15" customHeight="1" x14ac:dyDescent="0.2">
      <c r="A40" s="117">
        <v>31</v>
      </c>
      <c r="B40" s="58" t="s">
        <v>110</v>
      </c>
      <c r="C40" s="178">
        <f t="shared" si="0"/>
        <v>6000</v>
      </c>
      <c r="D40" s="62">
        <v>1300</v>
      </c>
      <c r="E40" s="62">
        <v>2000</v>
      </c>
      <c r="F40" s="62">
        <v>2700</v>
      </c>
    </row>
    <row r="41" spans="1:6" ht="17.25" customHeight="1" x14ac:dyDescent="0.2">
      <c r="A41" s="117">
        <v>32</v>
      </c>
      <c r="B41" s="58" t="s">
        <v>111</v>
      </c>
      <c r="C41" s="178">
        <f t="shared" si="0"/>
        <v>69000</v>
      </c>
      <c r="D41" s="62"/>
      <c r="E41" s="62"/>
      <c r="F41" s="62">
        <v>69000</v>
      </c>
    </row>
    <row r="42" spans="1:6" ht="14.25" customHeight="1" x14ac:dyDescent="0.2">
      <c r="A42" s="117">
        <v>33</v>
      </c>
      <c r="B42" s="58" t="s">
        <v>112</v>
      </c>
      <c r="C42" s="178">
        <f t="shared" si="0"/>
        <v>55000</v>
      </c>
      <c r="D42" s="62"/>
      <c r="E42" s="62"/>
      <c r="F42" s="62">
        <v>55000</v>
      </c>
    </row>
    <row r="43" spans="1:6" ht="25.5" x14ac:dyDescent="0.2">
      <c r="A43" s="117">
        <v>34</v>
      </c>
      <c r="B43" s="144" t="s">
        <v>392</v>
      </c>
      <c r="C43" s="178">
        <f t="shared" si="0"/>
        <v>31500</v>
      </c>
      <c r="D43" s="62">
        <v>500</v>
      </c>
      <c r="E43" s="62"/>
      <c r="F43" s="62">
        <v>31000</v>
      </c>
    </row>
    <row r="44" spans="1:6" x14ac:dyDescent="0.2">
      <c r="A44" s="117">
        <v>35</v>
      </c>
      <c r="B44" s="144" t="s">
        <v>483</v>
      </c>
      <c r="C44" s="178">
        <f t="shared" si="0"/>
        <v>2000</v>
      </c>
      <c r="D44" s="62">
        <v>2000</v>
      </c>
      <c r="E44" s="62"/>
      <c r="F44" s="62"/>
    </row>
    <row r="45" spans="1:6" x14ac:dyDescent="0.2">
      <c r="A45" s="117">
        <v>36</v>
      </c>
      <c r="B45" s="58" t="s">
        <v>76</v>
      </c>
      <c r="C45" s="178">
        <f t="shared" si="0"/>
        <v>4400</v>
      </c>
      <c r="D45" s="62">
        <v>1100</v>
      </c>
      <c r="E45" s="62">
        <v>300</v>
      </c>
      <c r="F45" s="62">
        <v>3000</v>
      </c>
    </row>
    <row r="46" spans="1:6" x14ac:dyDescent="0.2">
      <c r="A46" s="117">
        <v>37</v>
      </c>
      <c r="B46" s="58" t="s">
        <v>74</v>
      </c>
      <c r="C46" s="178">
        <f t="shared" si="0"/>
        <v>12900</v>
      </c>
      <c r="D46" s="62"/>
      <c r="E46" s="62"/>
      <c r="F46" s="62">
        <v>12900</v>
      </c>
    </row>
    <row r="47" spans="1:6" ht="15.75" customHeight="1" x14ac:dyDescent="0.2">
      <c r="A47" s="117">
        <v>38</v>
      </c>
      <c r="B47" s="58" t="s">
        <v>75</v>
      </c>
      <c r="C47" s="178">
        <f t="shared" si="0"/>
        <v>22200</v>
      </c>
      <c r="D47" s="62"/>
      <c r="E47" s="62"/>
      <c r="F47" s="62">
        <v>22200</v>
      </c>
    </row>
    <row r="48" spans="1:6" ht="24" customHeight="1" x14ac:dyDescent="0.2">
      <c r="A48" s="117">
        <v>39</v>
      </c>
      <c r="B48" s="58" t="s">
        <v>100</v>
      </c>
      <c r="C48" s="178">
        <f t="shared" si="0"/>
        <v>5800</v>
      </c>
      <c r="D48" s="62">
        <v>1100</v>
      </c>
      <c r="E48" s="62"/>
      <c r="F48" s="62">
        <v>4700</v>
      </c>
    </row>
    <row r="49" spans="1:6" x14ac:dyDescent="0.2">
      <c r="A49" s="117">
        <v>40</v>
      </c>
      <c r="B49" s="58" t="s">
        <v>49</v>
      </c>
      <c r="C49" s="178">
        <f t="shared" si="0"/>
        <v>21000</v>
      </c>
      <c r="D49" s="62">
        <v>10000</v>
      </c>
      <c r="E49" s="62"/>
      <c r="F49" s="62">
        <v>11000</v>
      </c>
    </row>
    <row r="50" spans="1:6" x14ac:dyDescent="0.2">
      <c r="A50" s="117">
        <v>41</v>
      </c>
      <c r="B50" s="58" t="s">
        <v>363</v>
      </c>
      <c r="C50" s="178">
        <f t="shared" si="0"/>
        <v>92000</v>
      </c>
      <c r="D50" s="62">
        <v>38000</v>
      </c>
      <c r="E50" s="62"/>
      <c r="F50" s="62">
        <v>54000</v>
      </c>
    </row>
    <row r="51" spans="1:6" x14ac:dyDescent="0.2">
      <c r="A51" s="117">
        <v>42</v>
      </c>
      <c r="B51" s="144" t="s">
        <v>412</v>
      </c>
      <c r="C51" s="178">
        <f t="shared" si="0"/>
        <v>40000</v>
      </c>
      <c r="D51" s="62"/>
      <c r="E51" s="62"/>
      <c r="F51" s="62">
        <v>40000</v>
      </c>
    </row>
    <row r="52" spans="1:6" x14ac:dyDescent="0.2">
      <c r="A52" s="117">
        <v>43</v>
      </c>
      <c r="B52" s="58" t="s">
        <v>106</v>
      </c>
      <c r="C52" s="178">
        <f t="shared" si="0"/>
        <v>430000</v>
      </c>
      <c r="D52" s="62">
        <v>6000</v>
      </c>
      <c r="E52" s="62"/>
      <c r="F52" s="62">
        <v>424000</v>
      </c>
    </row>
    <row r="53" spans="1:6" ht="13.5" customHeight="1" x14ac:dyDescent="0.25">
      <c r="A53" s="118"/>
      <c r="B53" s="118" t="s">
        <v>40</v>
      </c>
      <c r="C53" s="178">
        <f>D53+E53+F53</f>
        <v>992100</v>
      </c>
      <c r="D53" s="178">
        <f>SUM(D10:D52)</f>
        <v>125800</v>
      </c>
      <c r="E53" s="178">
        <f t="shared" ref="E53:F53" si="1">SUM(E10:E52)</f>
        <v>108500</v>
      </c>
      <c r="F53" s="178">
        <f t="shared" si="1"/>
        <v>757800</v>
      </c>
    </row>
    <row r="54" spans="1:6" ht="6.75" customHeight="1" x14ac:dyDescent="0.2">
      <c r="C54" s="4"/>
      <c r="D54" s="35"/>
      <c r="E54" s="35"/>
    </row>
    <row r="55" spans="1:6" x14ac:dyDescent="0.2">
      <c r="C55" s="29"/>
      <c r="D55" s="38"/>
      <c r="E55" s="38"/>
    </row>
    <row r="56" spans="1:6" x14ac:dyDescent="0.2">
      <c r="C56" s="4"/>
      <c r="D56" s="35"/>
      <c r="E56" s="35"/>
    </row>
  </sheetData>
  <mergeCells count="6">
    <mergeCell ref="C1:F1"/>
    <mergeCell ref="C2:F2"/>
    <mergeCell ref="B5:F5"/>
    <mergeCell ref="C3:F3"/>
    <mergeCell ref="A8:A9"/>
    <mergeCell ref="D8:F8"/>
  </mergeCells>
  <phoneticPr fontId="2" type="noConversion"/>
  <pageMargins left="0.85" right="0.17" top="0.78740157480314965" bottom="0.78740157480314965" header="0" footer="0"/>
  <pageSetup paperSize="9" orientation="portrait" horizontalDpi="4294967295" verticalDpi="4294967295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K11" sqref="K11"/>
    </sheetView>
  </sheetViews>
  <sheetFormatPr defaultRowHeight="12.75" x14ac:dyDescent="0.2"/>
  <cols>
    <col min="1" max="1" width="7.7109375" customWidth="1"/>
    <col min="2" max="2" width="42.28515625" customWidth="1"/>
    <col min="3" max="3" width="9.85546875" customWidth="1"/>
    <col min="4" max="4" width="11.28515625" customWidth="1"/>
    <col min="5" max="5" width="8.28515625" customWidth="1"/>
    <col min="6" max="6" width="10.85546875" customWidth="1"/>
    <col min="7" max="7" width="9.7109375" customWidth="1"/>
    <col min="8" max="8" width="8.28515625" customWidth="1"/>
  </cols>
  <sheetData>
    <row r="1" spans="1:8" x14ac:dyDescent="0.2">
      <c r="C1" s="136"/>
      <c r="D1" s="136" t="s">
        <v>50</v>
      </c>
      <c r="E1" s="135"/>
    </row>
    <row r="2" spans="1:8" x14ac:dyDescent="0.2">
      <c r="C2" s="136"/>
      <c r="D2" s="124" t="s">
        <v>591</v>
      </c>
      <c r="E2" s="136"/>
    </row>
    <row r="3" spans="1:8" x14ac:dyDescent="0.2">
      <c r="C3" s="256"/>
      <c r="D3" s="256" t="s">
        <v>84</v>
      </c>
      <c r="E3" s="135"/>
    </row>
    <row r="4" spans="1:8" ht="13.5" customHeight="1" x14ac:dyDescent="0.2"/>
    <row r="5" spans="1:8" ht="29.25" customHeight="1" x14ac:dyDescent="0.2">
      <c r="B5" s="448" t="s">
        <v>429</v>
      </c>
      <c r="C5" s="448"/>
      <c r="D5" s="448"/>
    </row>
    <row r="7" spans="1:8" x14ac:dyDescent="0.2">
      <c r="E7" s="123" t="s">
        <v>117</v>
      </c>
    </row>
    <row r="8" spans="1:8" s="3" customFormat="1" ht="37.5" customHeight="1" x14ac:dyDescent="0.2">
      <c r="A8" s="457" t="s">
        <v>26</v>
      </c>
      <c r="B8" s="454" t="s">
        <v>107</v>
      </c>
      <c r="C8" s="454" t="s">
        <v>27</v>
      </c>
      <c r="D8" s="259" t="s">
        <v>425</v>
      </c>
      <c r="E8" s="456" t="s">
        <v>426</v>
      </c>
      <c r="F8" s="456"/>
      <c r="G8" s="456"/>
      <c r="H8" s="456"/>
    </row>
    <row r="9" spans="1:8" ht="57" customHeight="1" x14ac:dyDescent="0.2">
      <c r="A9" s="458"/>
      <c r="B9" s="455"/>
      <c r="C9" s="455"/>
      <c r="D9" s="258" t="s">
        <v>427</v>
      </c>
      <c r="E9" s="258" t="s">
        <v>421</v>
      </c>
      <c r="F9" s="259" t="s">
        <v>422</v>
      </c>
      <c r="G9" s="259" t="s">
        <v>423</v>
      </c>
      <c r="H9" s="260" t="s">
        <v>424</v>
      </c>
    </row>
    <row r="10" spans="1:8" x14ac:dyDescent="0.2">
      <c r="A10" s="257">
        <v>1</v>
      </c>
      <c r="B10" s="33" t="s">
        <v>400</v>
      </c>
      <c r="C10" s="45">
        <f t="shared" ref="C10:C31" si="0">SUM(D10,E10,F10,G10,H10)</f>
        <v>632000</v>
      </c>
      <c r="D10" s="263">
        <v>532200</v>
      </c>
      <c r="E10" s="45">
        <v>60400</v>
      </c>
      <c r="F10" s="45">
        <v>39400</v>
      </c>
      <c r="G10" s="45"/>
      <c r="H10" s="45"/>
    </row>
    <row r="11" spans="1:8" x14ac:dyDescent="0.2">
      <c r="A11" s="257">
        <v>2</v>
      </c>
      <c r="B11" s="33" t="s">
        <v>394</v>
      </c>
      <c r="C11" s="45">
        <f t="shared" si="0"/>
        <v>444300</v>
      </c>
      <c r="D11" s="45">
        <v>361700</v>
      </c>
      <c r="E11" s="45">
        <v>33600</v>
      </c>
      <c r="F11" s="45">
        <v>49000</v>
      </c>
      <c r="G11" s="45"/>
      <c r="H11" s="45"/>
    </row>
    <row r="12" spans="1:8" x14ac:dyDescent="0.2">
      <c r="A12" s="257">
        <v>3</v>
      </c>
      <c r="B12" s="33" t="s">
        <v>39</v>
      </c>
      <c r="C12" s="44">
        <f t="shared" si="0"/>
        <v>847200</v>
      </c>
      <c r="D12" s="45">
        <v>701400</v>
      </c>
      <c r="E12" s="45">
        <v>77800</v>
      </c>
      <c r="F12" s="45">
        <v>61100</v>
      </c>
      <c r="G12" s="45">
        <v>6900</v>
      </c>
      <c r="H12" s="45"/>
    </row>
    <row r="13" spans="1:8" x14ac:dyDescent="0.2">
      <c r="A13" s="257">
        <v>4</v>
      </c>
      <c r="B13" s="33" t="s">
        <v>82</v>
      </c>
      <c r="C13" s="45">
        <f t="shared" si="0"/>
        <v>461000</v>
      </c>
      <c r="D13" s="45">
        <v>371500</v>
      </c>
      <c r="E13" s="45">
        <v>37500</v>
      </c>
      <c r="F13" s="45">
        <v>49700</v>
      </c>
      <c r="G13" s="45">
        <v>2300</v>
      </c>
      <c r="H13" s="45"/>
    </row>
    <row r="14" spans="1:8" x14ac:dyDescent="0.2">
      <c r="A14" s="257">
        <v>5</v>
      </c>
      <c r="B14" s="33" t="s">
        <v>119</v>
      </c>
      <c r="C14" s="45">
        <f t="shared" si="0"/>
        <v>545300</v>
      </c>
      <c r="D14" s="45">
        <v>449000</v>
      </c>
      <c r="E14" s="45">
        <v>48600</v>
      </c>
      <c r="F14" s="45">
        <v>42800</v>
      </c>
      <c r="G14" s="45">
        <v>4900</v>
      </c>
      <c r="H14" s="45"/>
    </row>
    <row r="15" spans="1:8" x14ac:dyDescent="0.2">
      <c r="A15" s="257">
        <v>6</v>
      </c>
      <c r="B15" s="33" t="s">
        <v>361</v>
      </c>
      <c r="C15" s="45">
        <f t="shared" si="0"/>
        <v>433700</v>
      </c>
      <c r="D15" s="45">
        <v>380200</v>
      </c>
      <c r="E15" s="45">
        <v>28000</v>
      </c>
      <c r="F15" s="45">
        <v>25500</v>
      </c>
      <c r="G15" s="45"/>
      <c r="H15" s="45"/>
    </row>
    <row r="16" spans="1:8" x14ac:dyDescent="0.2">
      <c r="A16" s="257">
        <v>7</v>
      </c>
      <c r="B16" s="33" t="s">
        <v>362</v>
      </c>
      <c r="C16" s="45">
        <f t="shared" si="0"/>
        <v>252400</v>
      </c>
      <c r="D16" s="45">
        <v>216700</v>
      </c>
      <c r="E16" s="45">
        <v>20300</v>
      </c>
      <c r="F16" s="45">
        <v>15400</v>
      </c>
      <c r="G16" s="45"/>
      <c r="H16" s="45"/>
    </row>
    <row r="17" spans="1:9" x14ac:dyDescent="0.2">
      <c r="A17" s="257">
        <v>8</v>
      </c>
      <c r="B17" s="33" t="s">
        <v>114</v>
      </c>
      <c r="C17" s="45">
        <f t="shared" si="0"/>
        <v>670100</v>
      </c>
      <c r="D17" s="45">
        <v>530300</v>
      </c>
      <c r="E17" s="45">
        <v>75100</v>
      </c>
      <c r="F17" s="45">
        <v>64700</v>
      </c>
      <c r="G17" s="45"/>
      <c r="H17" s="45"/>
    </row>
    <row r="18" spans="1:9" x14ac:dyDescent="0.2">
      <c r="A18" s="257">
        <v>9</v>
      </c>
      <c r="B18" s="33" t="s">
        <v>115</v>
      </c>
      <c r="C18" s="45">
        <f t="shared" si="0"/>
        <v>634400</v>
      </c>
      <c r="D18" s="45">
        <v>503900</v>
      </c>
      <c r="E18" s="45">
        <v>76100</v>
      </c>
      <c r="F18" s="45">
        <v>54400</v>
      </c>
      <c r="G18" s="45"/>
      <c r="H18" s="45"/>
    </row>
    <row r="19" spans="1:9" x14ac:dyDescent="0.2">
      <c r="A19" s="257">
        <v>10</v>
      </c>
      <c r="B19" s="33" t="s">
        <v>73</v>
      </c>
      <c r="C19" s="45">
        <f t="shared" si="0"/>
        <v>327500</v>
      </c>
      <c r="D19" s="44">
        <v>277800</v>
      </c>
      <c r="E19" s="45">
        <v>19300</v>
      </c>
      <c r="F19" s="45">
        <v>30400</v>
      </c>
      <c r="G19" s="45"/>
      <c r="H19" s="45"/>
    </row>
    <row r="20" spans="1:9" x14ac:dyDescent="0.2">
      <c r="A20" s="257">
        <v>11</v>
      </c>
      <c r="B20" s="33" t="s">
        <v>76</v>
      </c>
      <c r="C20" s="45">
        <f t="shared" si="0"/>
        <v>303500</v>
      </c>
      <c r="D20" s="45">
        <v>263900</v>
      </c>
      <c r="E20" s="45">
        <v>17800</v>
      </c>
      <c r="F20" s="45">
        <v>21800</v>
      </c>
      <c r="G20" s="45"/>
      <c r="H20" s="45"/>
    </row>
    <row r="21" spans="1:9" x14ac:dyDescent="0.2">
      <c r="A21" s="257">
        <v>12</v>
      </c>
      <c r="B21" s="33" t="s">
        <v>49</v>
      </c>
      <c r="C21" s="45">
        <f t="shared" si="0"/>
        <v>400800</v>
      </c>
      <c r="D21" s="45">
        <v>305100</v>
      </c>
      <c r="E21" s="45">
        <v>13500</v>
      </c>
      <c r="F21" s="45">
        <v>82200</v>
      </c>
      <c r="G21" s="45"/>
      <c r="H21" s="45"/>
    </row>
    <row r="22" spans="1:9" x14ac:dyDescent="0.2">
      <c r="A22" s="257">
        <v>13</v>
      </c>
      <c r="B22" s="33" t="s">
        <v>100</v>
      </c>
      <c r="C22" s="45">
        <f t="shared" si="0"/>
        <v>112000</v>
      </c>
      <c r="D22" s="45">
        <v>95500</v>
      </c>
      <c r="E22" s="45">
        <v>5900</v>
      </c>
      <c r="F22" s="45">
        <v>10600</v>
      </c>
      <c r="G22" s="45"/>
      <c r="H22" s="45"/>
    </row>
    <row r="23" spans="1:9" x14ac:dyDescent="0.2">
      <c r="A23" s="257">
        <v>14</v>
      </c>
      <c r="B23" s="33" t="s">
        <v>111</v>
      </c>
      <c r="C23" s="45">
        <f t="shared" si="0"/>
        <v>410600</v>
      </c>
      <c r="D23" s="45">
        <v>360200</v>
      </c>
      <c r="E23" s="45">
        <v>26600</v>
      </c>
      <c r="F23" s="45">
        <v>23800</v>
      </c>
      <c r="G23" s="45"/>
      <c r="H23" s="45"/>
    </row>
    <row r="24" spans="1:9" x14ac:dyDescent="0.2">
      <c r="A24" s="257">
        <v>15</v>
      </c>
      <c r="B24" s="138" t="s">
        <v>112</v>
      </c>
      <c r="C24" s="45">
        <f t="shared" si="0"/>
        <v>347100</v>
      </c>
      <c r="D24" s="45">
        <v>296400</v>
      </c>
      <c r="E24" s="45">
        <v>20000</v>
      </c>
      <c r="F24" s="45">
        <v>30700</v>
      </c>
      <c r="G24" s="45"/>
      <c r="H24" s="45"/>
    </row>
    <row r="25" spans="1:9" x14ac:dyDescent="0.2">
      <c r="A25" s="257">
        <v>16</v>
      </c>
      <c r="B25" s="33" t="s">
        <v>74</v>
      </c>
      <c r="C25" s="45">
        <f t="shared" si="0"/>
        <v>103500</v>
      </c>
      <c r="D25" s="45">
        <v>84700</v>
      </c>
      <c r="E25" s="45">
        <v>13000</v>
      </c>
      <c r="F25" s="45">
        <v>5800</v>
      </c>
      <c r="G25" s="45"/>
      <c r="H25" s="45"/>
    </row>
    <row r="26" spans="1:9" x14ac:dyDescent="0.2">
      <c r="A26" s="257">
        <v>17</v>
      </c>
      <c r="B26" s="33" t="s">
        <v>75</v>
      </c>
      <c r="C26" s="45">
        <f t="shared" si="0"/>
        <v>126900</v>
      </c>
      <c r="D26" s="45">
        <v>106600</v>
      </c>
      <c r="E26" s="45">
        <v>10500</v>
      </c>
      <c r="F26" s="45">
        <v>9800</v>
      </c>
      <c r="G26" s="45"/>
      <c r="H26" s="45"/>
    </row>
    <row r="27" spans="1:9" x14ac:dyDescent="0.2">
      <c r="A27" s="257">
        <v>18</v>
      </c>
      <c r="B27" s="144" t="s">
        <v>483</v>
      </c>
      <c r="C27" s="45">
        <f t="shared" si="0"/>
        <v>90400</v>
      </c>
      <c r="D27" s="45"/>
      <c r="E27" s="45"/>
      <c r="F27" s="45">
        <v>90400</v>
      </c>
      <c r="G27" s="45"/>
      <c r="H27" s="45"/>
    </row>
    <row r="28" spans="1:9" x14ac:dyDescent="0.2">
      <c r="A28" s="257">
        <v>19</v>
      </c>
      <c r="B28" s="33" t="s">
        <v>392</v>
      </c>
      <c r="C28" s="45">
        <f t="shared" si="0"/>
        <v>19400</v>
      </c>
      <c r="D28" s="45"/>
      <c r="E28" s="45"/>
      <c r="F28" s="45"/>
      <c r="G28" s="45">
        <v>19400</v>
      </c>
      <c r="H28" s="45"/>
    </row>
    <row r="29" spans="1:9" ht="25.5" x14ac:dyDescent="0.2">
      <c r="A29" s="257">
        <v>20</v>
      </c>
      <c r="B29" s="33" t="s">
        <v>557</v>
      </c>
      <c r="C29" s="45">
        <f t="shared" si="0"/>
        <v>20600</v>
      </c>
      <c r="D29" s="45">
        <v>20600</v>
      </c>
      <c r="E29" s="45"/>
      <c r="F29" s="45"/>
      <c r="G29" s="45"/>
      <c r="H29" s="45"/>
    </row>
    <row r="30" spans="1:9" ht="25.5" customHeight="1" x14ac:dyDescent="0.2">
      <c r="A30" s="257">
        <v>21</v>
      </c>
      <c r="B30" s="33" t="s">
        <v>558</v>
      </c>
      <c r="C30" s="45">
        <f t="shared" si="0"/>
        <v>17100</v>
      </c>
      <c r="D30" s="45"/>
      <c r="E30" s="45"/>
      <c r="F30" s="45"/>
      <c r="G30" s="45">
        <v>17100</v>
      </c>
      <c r="H30" s="45"/>
    </row>
    <row r="31" spans="1:9" x14ac:dyDescent="0.2">
      <c r="A31" s="257">
        <v>20</v>
      </c>
      <c r="B31" s="33" t="s">
        <v>28</v>
      </c>
      <c r="C31" s="45">
        <f t="shared" si="0"/>
        <v>41800</v>
      </c>
      <c r="D31" s="45"/>
      <c r="E31" s="45"/>
      <c r="F31" s="45"/>
      <c r="G31" s="45"/>
      <c r="H31" s="45">
        <v>41800</v>
      </c>
    </row>
    <row r="32" spans="1:9" s="262" customFormat="1" ht="15" x14ac:dyDescent="0.25">
      <c r="A32" s="14"/>
      <c r="B32" s="15" t="s">
        <v>40</v>
      </c>
      <c r="C32" s="175">
        <f t="shared" ref="C32:H32" si="1">SUM(C10:C31)</f>
        <v>7241600</v>
      </c>
      <c r="D32" s="175">
        <f t="shared" si="1"/>
        <v>5857700</v>
      </c>
      <c r="E32" s="175">
        <f t="shared" si="1"/>
        <v>584000</v>
      </c>
      <c r="F32" s="175">
        <f t="shared" si="1"/>
        <v>707500</v>
      </c>
      <c r="G32" s="175">
        <f t="shared" si="1"/>
        <v>50600</v>
      </c>
      <c r="H32" s="175">
        <f t="shared" si="1"/>
        <v>41800</v>
      </c>
      <c r="I32"/>
    </row>
    <row r="34" spans="3:4" x14ac:dyDescent="0.2">
      <c r="C34" s="30"/>
      <c r="D34" s="30"/>
    </row>
  </sheetData>
  <mergeCells count="5">
    <mergeCell ref="B8:B9"/>
    <mergeCell ref="C8:C9"/>
    <mergeCell ref="E8:H8"/>
    <mergeCell ref="B5:D5"/>
    <mergeCell ref="A8:A9"/>
  </mergeCells>
  <phoneticPr fontId="2" type="noConversion"/>
  <pageMargins left="1.1811023622047245" right="0.39370078740157483" top="0.78740157480314965" bottom="0.27" header="0" footer="0"/>
  <pageSetup paperSize="9" scale="80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N28" sqref="N28"/>
    </sheetView>
  </sheetViews>
  <sheetFormatPr defaultRowHeight="12.75" x14ac:dyDescent="0.2"/>
  <cols>
    <col min="1" max="1" width="6.7109375" style="85" customWidth="1"/>
    <col min="2" max="8" width="9.140625" style="85"/>
    <col min="9" max="9" width="2" style="85" customWidth="1"/>
    <col min="10" max="16384" width="9.140625" style="85"/>
  </cols>
  <sheetData>
    <row r="1" spans="1:9" x14ac:dyDescent="0.2">
      <c r="F1" s="26" t="s">
        <v>50</v>
      </c>
      <c r="G1" s="26"/>
    </row>
    <row r="2" spans="1:9" x14ac:dyDescent="0.2">
      <c r="F2" s="140" t="s">
        <v>591</v>
      </c>
      <c r="G2" s="26"/>
    </row>
    <row r="3" spans="1:9" x14ac:dyDescent="0.2">
      <c r="F3" s="143" t="s">
        <v>559</v>
      </c>
      <c r="G3" s="26"/>
    </row>
    <row r="4" spans="1:9" ht="6.75" customHeight="1" x14ac:dyDescent="0.2"/>
    <row r="5" spans="1:9" x14ac:dyDescent="0.2">
      <c r="A5" s="465" t="s">
        <v>585</v>
      </c>
      <c r="B5" s="465"/>
      <c r="C5" s="465"/>
      <c r="D5" s="465"/>
      <c r="E5" s="465"/>
      <c r="F5" s="465"/>
      <c r="G5" s="465"/>
      <c r="H5" s="465"/>
      <c r="I5" s="465"/>
    </row>
    <row r="6" spans="1:9" ht="7.5" customHeight="1" x14ac:dyDescent="0.2"/>
    <row r="7" spans="1:9" x14ac:dyDescent="0.2">
      <c r="A7" s="40" t="s">
        <v>26</v>
      </c>
      <c r="B7" s="466" t="s">
        <v>184</v>
      </c>
      <c r="C7" s="466"/>
      <c r="D7" s="466"/>
      <c r="E7" s="466"/>
      <c r="F7" s="466"/>
      <c r="G7" s="466"/>
      <c r="H7" s="466"/>
      <c r="I7" s="466"/>
    </row>
    <row r="8" spans="1:9" x14ac:dyDescent="0.2">
      <c r="A8" s="49">
        <v>1</v>
      </c>
      <c r="B8" s="462" t="s">
        <v>185</v>
      </c>
      <c r="C8" s="463"/>
      <c r="D8" s="463"/>
      <c r="E8" s="463"/>
      <c r="F8" s="463"/>
      <c r="G8" s="463"/>
      <c r="H8" s="463"/>
      <c r="I8" s="464"/>
    </row>
    <row r="9" spans="1:9" x14ac:dyDescent="0.2">
      <c r="A9" s="49">
        <v>2</v>
      </c>
      <c r="B9" s="462" t="s">
        <v>186</v>
      </c>
      <c r="C9" s="463"/>
      <c r="D9" s="463"/>
      <c r="E9" s="463"/>
      <c r="F9" s="463"/>
      <c r="G9" s="463"/>
      <c r="H9" s="463"/>
      <c r="I9" s="464"/>
    </row>
    <row r="10" spans="1:9" x14ac:dyDescent="0.2">
      <c r="A10" s="49">
        <v>3</v>
      </c>
      <c r="B10" s="462" t="s">
        <v>187</v>
      </c>
      <c r="C10" s="463"/>
      <c r="D10" s="463"/>
      <c r="E10" s="463"/>
      <c r="F10" s="463"/>
      <c r="G10" s="463"/>
      <c r="H10" s="463"/>
      <c r="I10" s="464"/>
    </row>
    <row r="11" spans="1:9" x14ac:dyDescent="0.2">
      <c r="A11" s="49">
        <v>4</v>
      </c>
      <c r="B11" s="462" t="s">
        <v>188</v>
      </c>
      <c r="C11" s="463"/>
      <c r="D11" s="463"/>
      <c r="E11" s="463"/>
      <c r="F11" s="463"/>
      <c r="G11" s="463"/>
      <c r="H11" s="463"/>
      <c r="I11" s="464"/>
    </row>
    <row r="12" spans="1:9" x14ac:dyDescent="0.2">
      <c r="A12" s="49">
        <v>5</v>
      </c>
      <c r="B12" s="462" t="s">
        <v>189</v>
      </c>
      <c r="C12" s="463"/>
      <c r="D12" s="463"/>
      <c r="E12" s="463"/>
      <c r="F12" s="463"/>
      <c r="G12" s="463"/>
      <c r="H12" s="463"/>
      <c r="I12" s="464"/>
    </row>
    <row r="13" spans="1:9" x14ac:dyDescent="0.2">
      <c r="A13" s="49">
        <v>6</v>
      </c>
      <c r="B13" s="462" t="s">
        <v>190</v>
      </c>
      <c r="C13" s="463"/>
      <c r="D13" s="463"/>
      <c r="E13" s="463"/>
      <c r="F13" s="463"/>
      <c r="G13" s="463"/>
      <c r="H13" s="463"/>
      <c r="I13" s="464"/>
    </row>
    <row r="14" spans="1:9" x14ac:dyDescent="0.2">
      <c r="A14" s="49">
        <v>7</v>
      </c>
      <c r="B14" s="462" t="s">
        <v>191</v>
      </c>
      <c r="C14" s="463"/>
      <c r="D14" s="463"/>
      <c r="E14" s="463"/>
      <c r="F14" s="463"/>
      <c r="G14" s="463"/>
      <c r="H14" s="463"/>
      <c r="I14" s="464"/>
    </row>
    <row r="15" spans="1:9" x14ac:dyDescent="0.2">
      <c r="A15" s="49">
        <v>8</v>
      </c>
      <c r="B15" s="462" t="s">
        <v>192</v>
      </c>
      <c r="C15" s="463"/>
      <c r="D15" s="463"/>
      <c r="E15" s="463"/>
      <c r="F15" s="463"/>
      <c r="G15" s="463"/>
      <c r="H15" s="463"/>
      <c r="I15" s="464"/>
    </row>
    <row r="16" spans="1:9" x14ac:dyDescent="0.2">
      <c r="A16" s="49">
        <v>9</v>
      </c>
      <c r="B16" s="462" t="s">
        <v>193</v>
      </c>
      <c r="C16" s="463"/>
      <c r="D16" s="463"/>
      <c r="E16" s="463"/>
      <c r="F16" s="463"/>
      <c r="G16" s="463"/>
      <c r="H16" s="463"/>
      <c r="I16" s="464"/>
    </row>
    <row r="17" spans="1:9" x14ac:dyDescent="0.2">
      <c r="A17" s="49">
        <v>10</v>
      </c>
      <c r="B17" s="462" t="s">
        <v>194</v>
      </c>
      <c r="C17" s="463"/>
      <c r="D17" s="463"/>
      <c r="E17" s="463"/>
      <c r="F17" s="463"/>
      <c r="G17" s="463"/>
      <c r="H17" s="463"/>
      <c r="I17" s="464"/>
    </row>
    <row r="18" spans="1:9" x14ac:dyDescent="0.2">
      <c r="A18" s="49">
        <v>11</v>
      </c>
      <c r="B18" s="462" t="s">
        <v>195</v>
      </c>
      <c r="C18" s="463"/>
      <c r="D18" s="463"/>
      <c r="E18" s="463"/>
      <c r="F18" s="463"/>
      <c r="G18" s="463"/>
      <c r="H18" s="463"/>
      <c r="I18" s="464"/>
    </row>
    <row r="19" spans="1:9" x14ac:dyDescent="0.2">
      <c r="A19" s="49">
        <v>12</v>
      </c>
      <c r="B19" s="462" t="s">
        <v>196</v>
      </c>
      <c r="C19" s="463"/>
      <c r="D19" s="463"/>
      <c r="E19" s="463"/>
      <c r="F19" s="463"/>
      <c r="G19" s="463"/>
      <c r="H19" s="463"/>
      <c r="I19" s="464"/>
    </row>
    <row r="20" spans="1:9" x14ac:dyDescent="0.2">
      <c r="A20" s="49">
        <v>13</v>
      </c>
      <c r="B20" s="462" t="s">
        <v>197</v>
      </c>
      <c r="C20" s="463"/>
      <c r="D20" s="463"/>
      <c r="E20" s="463"/>
      <c r="F20" s="463"/>
      <c r="G20" s="463"/>
      <c r="H20" s="463"/>
      <c r="I20" s="464"/>
    </row>
    <row r="21" spans="1:9" x14ac:dyDescent="0.2">
      <c r="A21" s="49">
        <v>14</v>
      </c>
      <c r="B21" s="462" t="s">
        <v>399</v>
      </c>
      <c r="C21" s="463"/>
      <c r="D21" s="463"/>
      <c r="E21" s="463"/>
      <c r="F21" s="463"/>
      <c r="G21" s="463"/>
      <c r="H21" s="463"/>
      <c r="I21" s="464"/>
    </row>
    <row r="22" spans="1:9" x14ac:dyDescent="0.2">
      <c r="A22" s="49">
        <v>15</v>
      </c>
      <c r="B22" s="462" t="s">
        <v>395</v>
      </c>
      <c r="C22" s="463"/>
      <c r="D22" s="463"/>
      <c r="E22" s="463"/>
      <c r="F22" s="463"/>
      <c r="G22" s="463"/>
      <c r="H22" s="463"/>
      <c r="I22" s="464"/>
    </row>
    <row r="23" spans="1:9" x14ac:dyDescent="0.2">
      <c r="A23" s="49">
        <v>16</v>
      </c>
      <c r="B23" s="462" t="s">
        <v>198</v>
      </c>
      <c r="C23" s="463"/>
      <c r="D23" s="463"/>
      <c r="E23" s="463"/>
      <c r="F23" s="463"/>
      <c r="G23" s="463"/>
      <c r="H23" s="463"/>
      <c r="I23" s="464"/>
    </row>
    <row r="24" spans="1:9" x14ac:dyDescent="0.2">
      <c r="A24" s="49">
        <v>17</v>
      </c>
      <c r="B24" s="462" t="s">
        <v>199</v>
      </c>
      <c r="C24" s="463"/>
      <c r="D24" s="463"/>
      <c r="E24" s="463"/>
      <c r="F24" s="463"/>
      <c r="G24" s="463"/>
      <c r="H24" s="463"/>
      <c r="I24" s="464"/>
    </row>
    <row r="25" spans="1:9" x14ac:dyDescent="0.2">
      <c r="A25" s="49">
        <v>18</v>
      </c>
      <c r="B25" s="462" t="s">
        <v>200</v>
      </c>
      <c r="C25" s="463"/>
      <c r="D25" s="463"/>
      <c r="E25" s="463"/>
      <c r="F25" s="463"/>
      <c r="G25" s="463"/>
      <c r="H25" s="463"/>
      <c r="I25" s="464"/>
    </row>
    <row r="26" spans="1:9" x14ac:dyDescent="0.2">
      <c r="A26" s="49">
        <v>19</v>
      </c>
      <c r="B26" s="462" t="s">
        <v>368</v>
      </c>
      <c r="C26" s="463"/>
      <c r="D26" s="463"/>
      <c r="E26" s="463"/>
      <c r="F26" s="463"/>
      <c r="G26" s="463"/>
      <c r="H26" s="463"/>
      <c r="I26" s="464"/>
    </row>
    <row r="27" spans="1:9" x14ac:dyDescent="0.2">
      <c r="A27" s="49">
        <v>20</v>
      </c>
      <c r="B27" s="462" t="s">
        <v>365</v>
      </c>
      <c r="C27" s="463"/>
      <c r="D27" s="463"/>
      <c r="E27" s="463"/>
      <c r="F27" s="463"/>
      <c r="G27" s="463"/>
      <c r="H27" s="463"/>
      <c r="I27" s="464"/>
    </row>
    <row r="28" spans="1:9" x14ac:dyDescent="0.2">
      <c r="A28" s="49">
        <v>21</v>
      </c>
      <c r="B28" s="462" t="s">
        <v>201</v>
      </c>
      <c r="C28" s="463"/>
      <c r="D28" s="463"/>
      <c r="E28" s="463"/>
      <c r="F28" s="463"/>
      <c r="G28" s="463"/>
      <c r="H28" s="463"/>
      <c r="I28" s="464"/>
    </row>
    <row r="29" spans="1:9" x14ac:dyDescent="0.2">
      <c r="A29" s="49">
        <v>22</v>
      </c>
      <c r="B29" s="462" t="s">
        <v>202</v>
      </c>
      <c r="C29" s="463"/>
      <c r="D29" s="463"/>
      <c r="E29" s="463"/>
      <c r="F29" s="463"/>
      <c r="G29" s="463"/>
      <c r="H29" s="463"/>
      <c r="I29" s="464"/>
    </row>
    <row r="30" spans="1:9" x14ac:dyDescent="0.2">
      <c r="A30" s="49">
        <v>23</v>
      </c>
      <c r="B30" s="462" t="s">
        <v>203</v>
      </c>
      <c r="C30" s="463"/>
      <c r="D30" s="463"/>
      <c r="E30" s="463"/>
      <c r="F30" s="463"/>
      <c r="G30" s="463"/>
      <c r="H30" s="463"/>
      <c r="I30" s="464"/>
    </row>
    <row r="31" spans="1:9" x14ac:dyDescent="0.2">
      <c r="A31" s="49">
        <v>24</v>
      </c>
      <c r="B31" s="462" t="s">
        <v>204</v>
      </c>
      <c r="C31" s="463"/>
      <c r="D31" s="463"/>
      <c r="E31" s="463"/>
      <c r="F31" s="463"/>
      <c r="G31" s="463"/>
      <c r="H31" s="463"/>
      <c r="I31" s="464"/>
    </row>
    <row r="32" spans="1:9" x14ac:dyDescent="0.2">
      <c r="A32" s="49">
        <v>25</v>
      </c>
      <c r="B32" s="462" t="s">
        <v>205</v>
      </c>
      <c r="C32" s="463"/>
      <c r="D32" s="463"/>
      <c r="E32" s="463"/>
      <c r="F32" s="463"/>
      <c r="G32" s="463"/>
      <c r="H32" s="463"/>
      <c r="I32" s="464"/>
    </row>
    <row r="33" spans="1:9" x14ac:dyDescent="0.2">
      <c r="A33" s="49">
        <v>26</v>
      </c>
      <c r="B33" s="462" t="s">
        <v>332</v>
      </c>
      <c r="C33" s="463"/>
      <c r="D33" s="463"/>
      <c r="E33" s="463"/>
      <c r="F33" s="463"/>
      <c r="G33" s="463"/>
      <c r="H33" s="463"/>
      <c r="I33" s="464"/>
    </row>
    <row r="34" spans="1:9" x14ac:dyDescent="0.2">
      <c r="A34" s="49">
        <v>27</v>
      </c>
      <c r="B34" s="462" t="s">
        <v>333</v>
      </c>
      <c r="C34" s="463"/>
      <c r="D34" s="463"/>
      <c r="E34" s="463"/>
      <c r="F34" s="463"/>
      <c r="G34" s="463"/>
      <c r="H34" s="463"/>
      <c r="I34" s="464"/>
    </row>
    <row r="35" spans="1:9" x14ac:dyDescent="0.2">
      <c r="A35" s="49">
        <v>28</v>
      </c>
      <c r="B35" s="462" t="s">
        <v>334</v>
      </c>
      <c r="C35" s="463"/>
      <c r="D35" s="463"/>
      <c r="E35" s="463"/>
      <c r="F35" s="463"/>
      <c r="G35" s="463"/>
      <c r="H35" s="463"/>
      <c r="I35" s="464"/>
    </row>
    <row r="36" spans="1:9" x14ac:dyDescent="0.2">
      <c r="A36" s="49">
        <v>29</v>
      </c>
      <c r="B36" s="462" t="s">
        <v>335</v>
      </c>
      <c r="C36" s="463"/>
      <c r="D36" s="463"/>
      <c r="E36" s="463"/>
      <c r="F36" s="463"/>
      <c r="G36" s="463"/>
      <c r="H36" s="463"/>
      <c r="I36" s="464"/>
    </row>
    <row r="37" spans="1:9" x14ac:dyDescent="0.2">
      <c r="A37" s="49">
        <v>30</v>
      </c>
      <c r="B37" s="462" t="s">
        <v>336</v>
      </c>
      <c r="C37" s="463"/>
      <c r="D37" s="463"/>
      <c r="E37" s="463"/>
      <c r="F37" s="463"/>
      <c r="G37" s="463"/>
      <c r="H37" s="463"/>
      <c r="I37" s="464"/>
    </row>
    <row r="38" spans="1:9" x14ac:dyDescent="0.2">
      <c r="A38" s="49">
        <v>31</v>
      </c>
      <c r="B38" s="462" t="s">
        <v>396</v>
      </c>
      <c r="C38" s="463"/>
      <c r="D38" s="463"/>
      <c r="E38" s="463"/>
      <c r="F38" s="463"/>
      <c r="G38" s="463"/>
      <c r="H38" s="463"/>
      <c r="I38" s="464"/>
    </row>
    <row r="39" spans="1:9" x14ac:dyDescent="0.2">
      <c r="A39" s="49">
        <v>32</v>
      </c>
      <c r="B39" s="459" t="s">
        <v>492</v>
      </c>
      <c r="C39" s="460"/>
      <c r="D39" s="460"/>
      <c r="E39" s="460"/>
      <c r="F39" s="460"/>
      <c r="G39" s="460"/>
      <c r="H39" s="460"/>
      <c r="I39" s="461"/>
    </row>
    <row r="40" spans="1:9" x14ac:dyDescent="0.2">
      <c r="A40" s="49">
        <v>33</v>
      </c>
      <c r="B40" s="459" t="s">
        <v>206</v>
      </c>
      <c r="C40" s="460"/>
      <c r="D40" s="460"/>
      <c r="E40" s="460"/>
      <c r="F40" s="460"/>
      <c r="G40" s="460"/>
      <c r="H40" s="460"/>
      <c r="I40" s="461"/>
    </row>
    <row r="41" spans="1:9" x14ac:dyDescent="0.2">
      <c r="A41" s="49">
        <v>34</v>
      </c>
      <c r="B41" s="459" t="s">
        <v>207</v>
      </c>
      <c r="C41" s="460"/>
      <c r="D41" s="460"/>
      <c r="E41" s="460"/>
      <c r="F41" s="460"/>
      <c r="G41" s="460"/>
      <c r="H41" s="460"/>
      <c r="I41" s="461"/>
    </row>
    <row r="42" spans="1:9" x14ac:dyDescent="0.2">
      <c r="A42" s="49">
        <v>35</v>
      </c>
      <c r="B42" s="459" t="s">
        <v>208</v>
      </c>
      <c r="C42" s="460"/>
      <c r="D42" s="460"/>
      <c r="E42" s="460"/>
      <c r="F42" s="460"/>
      <c r="G42" s="460"/>
      <c r="H42" s="460"/>
      <c r="I42" s="461"/>
    </row>
    <row r="43" spans="1:9" x14ac:dyDescent="0.2">
      <c r="A43" s="49">
        <v>36</v>
      </c>
      <c r="B43" s="459" t="s">
        <v>209</v>
      </c>
      <c r="C43" s="460"/>
      <c r="D43" s="460"/>
      <c r="E43" s="460"/>
      <c r="F43" s="460"/>
      <c r="G43" s="460"/>
      <c r="H43" s="460"/>
      <c r="I43" s="461"/>
    </row>
    <row r="44" spans="1:9" x14ac:dyDescent="0.2">
      <c r="A44" s="49">
        <v>37</v>
      </c>
      <c r="B44" s="459" t="s">
        <v>210</v>
      </c>
      <c r="C44" s="460"/>
      <c r="D44" s="460"/>
      <c r="E44" s="460"/>
      <c r="F44" s="460"/>
      <c r="G44" s="460"/>
      <c r="H44" s="460"/>
      <c r="I44" s="461"/>
    </row>
    <row r="45" spans="1:9" x14ac:dyDescent="0.2">
      <c r="A45" s="49">
        <v>38</v>
      </c>
      <c r="B45" s="459" t="s">
        <v>366</v>
      </c>
      <c r="C45" s="460"/>
      <c r="D45" s="460"/>
      <c r="E45" s="460"/>
      <c r="F45" s="460"/>
      <c r="G45" s="460"/>
      <c r="H45" s="460"/>
      <c r="I45" s="461"/>
    </row>
    <row r="46" spans="1:9" x14ac:dyDescent="0.2">
      <c r="A46" s="49">
        <v>39</v>
      </c>
      <c r="B46" s="459" t="s">
        <v>211</v>
      </c>
      <c r="C46" s="460"/>
      <c r="D46" s="460"/>
      <c r="E46" s="460"/>
      <c r="F46" s="460"/>
      <c r="G46" s="460"/>
      <c r="H46" s="460"/>
      <c r="I46" s="461"/>
    </row>
    <row r="47" spans="1:9" x14ac:dyDescent="0.2">
      <c r="A47" s="49">
        <v>40</v>
      </c>
      <c r="B47" s="459" t="s">
        <v>212</v>
      </c>
      <c r="C47" s="460"/>
      <c r="D47" s="460"/>
      <c r="E47" s="460"/>
      <c r="F47" s="460"/>
      <c r="G47" s="460"/>
      <c r="H47" s="460"/>
      <c r="I47" s="461"/>
    </row>
    <row r="48" spans="1:9" x14ac:dyDescent="0.2">
      <c r="A48" s="49">
        <v>41</v>
      </c>
      <c r="B48" s="459" t="s">
        <v>213</v>
      </c>
      <c r="C48" s="460"/>
      <c r="D48" s="460"/>
      <c r="E48" s="460"/>
      <c r="F48" s="460"/>
      <c r="G48" s="460"/>
      <c r="H48" s="460"/>
      <c r="I48" s="461"/>
    </row>
    <row r="49" spans="1:9" x14ac:dyDescent="0.2">
      <c r="A49" s="49">
        <v>42</v>
      </c>
      <c r="B49" s="459" t="s">
        <v>214</v>
      </c>
      <c r="C49" s="460"/>
      <c r="D49" s="460"/>
      <c r="E49" s="460"/>
      <c r="F49" s="460"/>
      <c r="G49" s="460"/>
      <c r="H49" s="460"/>
      <c r="I49" s="461"/>
    </row>
    <row r="50" spans="1:9" x14ac:dyDescent="0.2">
      <c r="A50" s="49">
        <v>43</v>
      </c>
      <c r="B50" s="459" t="s">
        <v>411</v>
      </c>
      <c r="C50" s="460"/>
      <c r="D50" s="460"/>
      <c r="E50" s="460"/>
      <c r="F50" s="460"/>
      <c r="G50" s="460"/>
      <c r="H50" s="460"/>
      <c r="I50" s="461"/>
    </row>
    <row r="51" spans="1:9" x14ac:dyDescent="0.2">
      <c r="A51" s="49">
        <v>44</v>
      </c>
      <c r="B51" s="459" t="s">
        <v>215</v>
      </c>
      <c r="C51" s="460"/>
      <c r="D51" s="460"/>
      <c r="E51" s="460"/>
      <c r="F51" s="460"/>
      <c r="G51" s="460"/>
      <c r="H51" s="460"/>
      <c r="I51" s="461"/>
    </row>
    <row r="52" spans="1:9" x14ac:dyDescent="0.2">
      <c r="A52" s="49">
        <v>45</v>
      </c>
      <c r="B52" s="459" t="s">
        <v>367</v>
      </c>
      <c r="C52" s="460"/>
      <c r="D52" s="460"/>
      <c r="E52" s="460"/>
      <c r="F52" s="460"/>
      <c r="G52" s="460"/>
      <c r="H52" s="460"/>
      <c r="I52" s="461"/>
    </row>
    <row r="53" spans="1:9" x14ac:dyDescent="0.2">
      <c r="A53" s="49">
        <v>46</v>
      </c>
      <c r="B53" s="459" t="s">
        <v>216</v>
      </c>
      <c r="C53" s="460"/>
      <c r="D53" s="460"/>
      <c r="E53" s="460"/>
      <c r="F53" s="460"/>
      <c r="G53" s="460"/>
      <c r="H53" s="460"/>
      <c r="I53" s="461"/>
    </row>
    <row r="54" spans="1:9" x14ac:dyDescent="0.2">
      <c r="A54" s="49">
        <v>47</v>
      </c>
      <c r="B54" s="459" t="s">
        <v>434</v>
      </c>
      <c r="C54" s="460"/>
      <c r="D54" s="460"/>
      <c r="E54" s="460"/>
      <c r="F54" s="460"/>
      <c r="G54" s="460"/>
      <c r="H54" s="460"/>
      <c r="I54" s="461"/>
    </row>
    <row r="55" spans="1:9" x14ac:dyDescent="0.2">
      <c r="E55" s="86"/>
      <c r="F55" s="86"/>
    </row>
  </sheetData>
  <mergeCells count="49">
    <mergeCell ref="B54:I54"/>
    <mergeCell ref="A5:I5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30:I30"/>
    <mergeCell ref="B31:I31"/>
    <mergeCell ref="B26:I26"/>
    <mergeCell ref="B27:I27"/>
    <mergeCell ref="B28:I28"/>
    <mergeCell ref="B29:I29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50:I50"/>
    <mergeCell ref="B51:I51"/>
    <mergeCell ref="B52:I52"/>
    <mergeCell ref="B53:I53"/>
    <mergeCell ref="B45:I45"/>
    <mergeCell ref="B46:I46"/>
    <mergeCell ref="B47:I47"/>
    <mergeCell ref="B48:I48"/>
    <mergeCell ref="B49:I4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2"/>
  <sheetViews>
    <sheetView zoomScaleNormal="100" workbookViewId="0">
      <selection activeCell="D2" sqref="D2"/>
    </sheetView>
  </sheetViews>
  <sheetFormatPr defaultRowHeight="12.75" x14ac:dyDescent="0.2"/>
  <cols>
    <col min="1" max="1" width="3.7109375" style="64" customWidth="1"/>
    <col min="2" max="2" width="43.7109375" style="65" customWidth="1"/>
    <col min="3" max="3" width="11" style="65" customWidth="1"/>
    <col min="4" max="4" width="10.5703125" style="65" customWidth="1"/>
    <col min="5" max="5" width="10.42578125" style="65" customWidth="1"/>
    <col min="6" max="6" width="9.140625" style="65" customWidth="1"/>
    <col min="7" max="7" width="10.85546875" style="65" customWidth="1"/>
    <col min="8" max="8" width="10.42578125" style="65" customWidth="1"/>
    <col min="9" max="9" width="9.42578125" style="65" customWidth="1"/>
    <col min="10" max="11" width="9.7109375" style="65" customWidth="1"/>
    <col min="12" max="12" width="10.140625" style="65" customWidth="1"/>
    <col min="13" max="13" width="9.42578125" style="65" customWidth="1"/>
    <col min="14" max="14" width="8" style="65" customWidth="1"/>
    <col min="15" max="15" width="10" style="65" customWidth="1"/>
    <col min="16" max="17" width="6" style="65" customWidth="1"/>
    <col min="18" max="18" width="9.85546875" style="65" customWidth="1"/>
    <col min="19" max="19" width="10.5703125" style="65" customWidth="1"/>
    <col min="20" max="20" width="10.42578125" style="65" customWidth="1"/>
    <col min="21" max="21" width="10.5703125" style="65" customWidth="1"/>
    <col min="22" max="22" width="10.140625" style="65" customWidth="1"/>
    <col min="23" max="16384" width="9.140625" style="65"/>
  </cols>
  <sheetData>
    <row r="1" spans="1:22" ht="15" x14ac:dyDescent="0.25">
      <c r="O1" s="268" t="s">
        <v>50</v>
      </c>
      <c r="S1" s="66"/>
      <c r="T1" s="66"/>
      <c r="U1" s="66"/>
      <c r="V1" s="66"/>
    </row>
    <row r="2" spans="1:22" ht="15" x14ac:dyDescent="0.25">
      <c r="O2" s="269" t="s">
        <v>591</v>
      </c>
      <c r="S2" s="66"/>
      <c r="T2" s="66"/>
      <c r="U2" s="66"/>
      <c r="V2" s="66"/>
    </row>
    <row r="3" spans="1:22" ht="15" x14ac:dyDescent="0.25">
      <c r="O3" s="269" t="s">
        <v>581</v>
      </c>
      <c r="S3" s="66"/>
      <c r="T3" s="66"/>
      <c r="U3" s="66"/>
      <c r="V3" s="66"/>
    </row>
    <row r="4" spans="1:22" ht="18.75" customHeight="1" x14ac:dyDescent="0.25">
      <c r="T4" s="66"/>
      <c r="U4" s="66"/>
      <c r="V4" s="66"/>
    </row>
    <row r="5" spans="1:22" ht="15.75" customHeight="1" x14ac:dyDescent="0.2">
      <c r="A5" s="467" t="s">
        <v>580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</row>
    <row r="6" spans="1:22" ht="15.75" customHeight="1" thickBot="1" x14ac:dyDescent="0.25">
      <c r="V6" s="67" t="s">
        <v>117</v>
      </c>
    </row>
    <row r="7" spans="1:22" ht="12.75" customHeight="1" x14ac:dyDescent="0.2">
      <c r="A7" s="491" t="s">
        <v>26</v>
      </c>
      <c r="B7" s="469" t="s">
        <v>323</v>
      </c>
      <c r="C7" s="494" t="s">
        <v>128</v>
      </c>
      <c r="D7" s="495"/>
      <c r="E7" s="495"/>
      <c r="F7" s="496"/>
      <c r="G7" s="494" t="s">
        <v>584</v>
      </c>
      <c r="H7" s="495"/>
      <c r="I7" s="495"/>
      <c r="J7" s="496"/>
      <c r="K7" s="468" t="s">
        <v>129</v>
      </c>
      <c r="L7" s="469"/>
      <c r="M7" s="469"/>
      <c r="N7" s="470"/>
      <c r="O7" s="468" t="s">
        <v>130</v>
      </c>
      <c r="P7" s="469"/>
      <c r="Q7" s="469"/>
      <c r="R7" s="470"/>
      <c r="S7" s="468" t="s">
        <v>131</v>
      </c>
      <c r="T7" s="469"/>
      <c r="U7" s="469"/>
      <c r="V7" s="470"/>
    </row>
    <row r="8" spans="1:22" ht="14.25" customHeight="1" thickBot="1" x14ac:dyDescent="0.25">
      <c r="A8" s="492"/>
      <c r="B8" s="493"/>
      <c r="C8" s="497"/>
      <c r="D8" s="498"/>
      <c r="E8" s="498"/>
      <c r="F8" s="499"/>
      <c r="G8" s="497"/>
      <c r="H8" s="498"/>
      <c r="I8" s="498"/>
      <c r="J8" s="499"/>
      <c r="K8" s="474"/>
      <c r="L8" s="475"/>
      <c r="M8" s="475"/>
      <c r="N8" s="476"/>
      <c r="O8" s="471"/>
      <c r="P8" s="472"/>
      <c r="Q8" s="472"/>
      <c r="R8" s="473"/>
      <c r="S8" s="474"/>
      <c r="T8" s="475"/>
      <c r="U8" s="475"/>
      <c r="V8" s="476"/>
    </row>
    <row r="9" spans="1:22" x14ac:dyDescent="0.2">
      <c r="A9" s="492"/>
      <c r="B9" s="493"/>
      <c r="C9" s="489" t="s">
        <v>27</v>
      </c>
      <c r="D9" s="483" t="s">
        <v>48</v>
      </c>
      <c r="E9" s="484"/>
      <c r="F9" s="485"/>
      <c r="G9" s="489" t="s">
        <v>27</v>
      </c>
      <c r="H9" s="483" t="s">
        <v>48</v>
      </c>
      <c r="I9" s="484"/>
      <c r="J9" s="485"/>
      <c r="K9" s="489" t="s">
        <v>27</v>
      </c>
      <c r="L9" s="483" t="s">
        <v>48</v>
      </c>
      <c r="M9" s="484"/>
      <c r="N9" s="485"/>
      <c r="O9" s="488" t="s">
        <v>27</v>
      </c>
      <c r="P9" s="477" t="s">
        <v>48</v>
      </c>
      <c r="Q9" s="478"/>
      <c r="R9" s="478"/>
      <c r="S9" s="489" t="s">
        <v>27</v>
      </c>
      <c r="T9" s="483" t="s">
        <v>48</v>
      </c>
      <c r="U9" s="484"/>
      <c r="V9" s="485"/>
    </row>
    <row r="10" spans="1:22" ht="15" customHeight="1" x14ac:dyDescent="0.2">
      <c r="A10" s="492"/>
      <c r="B10" s="493"/>
      <c r="C10" s="490"/>
      <c r="D10" s="479" t="s">
        <v>58</v>
      </c>
      <c r="E10" s="480"/>
      <c r="F10" s="481" t="s">
        <v>61</v>
      </c>
      <c r="G10" s="490"/>
      <c r="H10" s="479" t="s">
        <v>58</v>
      </c>
      <c r="I10" s="480"/>
      <c r="J10" s="481" t="s">
        <v>61</v>
      </c>
      <c r="K10" s="490"/>
      <c r="L10" s="479" t="s">
        <v>58</v>
      </c>
      <c r="M10" s="480"/>
      <c r="N10" s="481" t="s">
        <v>61</v>
      </c>
      <c r="O10" s="488"/>
      <c r="P10" s="479" t="s">
        <v>58</v>
      </c>
      <c r="Q10" s="480"/>
      <c r="R10" s="486" t="s">
        <v>61</v>
      </c>
      <c r="S10" s="490"/>
      <c r="T10" s="479" t="s">
        <v>58</v>
      </c>
      <c r="U10" s="480"/>
      <c r="V10" s="481" t="s">
        <v>61</v>
      </c>
    </row>
    <row r="11" spans="1:22" ht="53.25" customHeight="1" thickBot="1" x14ac:dyDescent="0.25">
      <c r="A11" s="492"/>
      <c r="B11" s="493"/>
      <c r="C11" s="490"/>
      <c r="D11" s="68" t="s">
        <v>59</v>
      </c>
      <c r="E11" s="69" t="s">
        <v>60</v>
      </c>
      <c r="F11" s="482"/>
      <c r="G11" s="490"/>
      <c r="H11" s="68" t="s">
        <v>59</v>
      </c>
      <c r="I11" s="69" t="s">
        <v>60</v>
      </c>
      <c r="J11" s="500"/>
      <c r="K11" s="490"/>
      <c r="L11" s="68" t="s">
        <v>59</v>
      </c>
      <c r="M11" s="69" t="s">
        <v>60</v>
      </c>
      <c r="N11" s="482"/>
      <c r="O11" s="488"/>
      <c r="P11" s="68" t="s">
        <v>59</v>
      </c>
      <c r="Q11" s="69" t="s">
        <v>60</v>
      </c>
      <c r="R11" s="487"/>
      <c r="S11" s="490"/>
      <c r="T11" s="68" t="s">
        <v>59</v>
      </c>
      <c r="U11" s="69" t="s">
        <v>60</v>
      </c>
      <c r="V11" s="482"/>
    </row>
    <row r="12" spans="1:22" s="78" customFormat="1" ht="12.75" customHeight="1" thickBot="1" x14ac:dyDescent="0.25">
      <c r="A12" s="70" t="s">
        <v>132</v>
      </c>
      <c r="B12" s="87">
        <v>3</v>
      </c>
      <c r="C12" s="88" t="s">
        <v>148</v>
      </c>
      <c r="D12" s="89">
        <v>5</v>
      </c>
      <c r="E12" s="90">
        <v>6</v>
      </c>
      <c r="F12" s="91">
        <v>7</v>
      </c>
      <c r="G12" s="88" t="s">
        <v>149</v>
      </c>
      <c r="H12" s="89">
        <v>9</v>
      </c>
      <c r="I12" s="90">
        <v>10</v>
      </c>
      <c r="J12" s="91">
        <v>11</v>
      </c>
      <c r="K12" s="88" t="s">
        <v>217</v>
      </c>
      <c r="L12" s="89">
        <v>13</v>
      </c>
      <c r="M12" s="90">
        <v>14</v>
      </c>
      <c r="N12" s="91">
        <v>15</v>
      </c>
      <c r="O12" s="92" t="s">
        <v>218</v>
      </c>
      <c r="P12" s="89">
        <v>17</v>
      </c>
      <c r="Q12" s="132">
        <v>18</v>
      </c>
      <c r="R12" s="93">
        <v>19</v>
      </c>
      <c r="S12" s="92" t="s">
        <v>582</v>
      </c>
      <c r="T12" s="89">
        <v>21</v>
      </c>
      <c r="U12" s="90">
        <v>22</v>
      </c>
      <c r="V12" s="91">
        <v>23</v>
      </c>
    </row>
    <row r="13" spans="1:22" ht="13.5" customHeight="1" thickBot="1" x14ac:dyDescent="0.25">
      <c r="A13" s="96" t="s">
        <v>132</v>
      </c>
      <c r="B13" s="97" t="s">
        <v>219</v>
      </c>
      <c r="C13" s="276">
        <f>D13+F13</f>
        <v>79000</v>
      </c>
      <c r="D13" s="277">
        <f>D14</f>
        <v>79000</v>
      </c>
      <c r="E13" s="415">
        <f>E14</f>
        <v>75400</v>
      </c>
      <c r="F13" s="290">
        <f>F14</f>
        <v>0</v>
      </c>
      <c r="G13" s="284">
        <f>H13+J13</f>
        <v>0</v>
      </c>
      <c r="H13" s="301">
        <f>H14</f>
        <v>0</v>
      </c>
      <c r="I13" s="415">
        <f>I14</f>
        <v>0</v>
      </c>
      <c r="J13" s="290">
        <f>J14</f>
        <v>0</v>
      </c>
      <c r="K13" s="284">
        <f>L13+N13</f>
        <v>0</v>
      </c>
      <c r="L13" s="301">
        <f>L14</f>
        <v>0</v>
      </c>
      <c r="M13" s="301">
        <f>M14</f>
        <v>0</v>
      </c>
      <c r="N13" s="301">
        <f>N14</f>
        <v>0</v>
      </c>
      <c r="O13" s="284">
        <f>P13+R13</f>
        <v>0</v>
      </c>
      <c r="P13" s="301">
        <f>P14</f>
        <v>0</v>
      </c>
      <c r="Q13" s="277"/>
      <c r="R13" s="301">
        <f>R14</f>
        <v>0</v>
      </c>
      <c r="S13" s="284">
        <f>T13+V13</f>
        <v>79000</v>
      </c>
      <c r="T13" s="285">
        <f>D13+H13+L13+P13</f>
        <v>79000</v>
      </c>
      <c r="U13" s="285">
        <f>E13+I13+M13</f>
        <v>75400</v>
      </c>
      <c r="V13" s="286">
        <f>F13+J13+N13+R13</f>
        <v>0</v>
      </c>
    </row>
    <row r="14" spans="1:22" ht="13.5" customHeight="1" thickBot="1" x14ac:dyDescent="0.25">
      <c r="A14" s="98"/>
      <c r="B14" s="99" t="s">
        <v>311</v>
      </c>
      <c r="C14" s="201">
        <f>D14+F14</f>
        <v>79000</v>
      </c>
      <c r="D14" s="202">
        <f>SUM('prog-6'!D463)</f>
        <v>79000</v>
      </c>
      <c r="E14" s="416">
        <f>SUM('prog-6'!E463)</f>
        <v>75400</v>
      </c>
      <c r="F14" s="202">
        <f>SUM('prog-6'!F463)</f>
        <v>0</v>
      </c>
      <c r="G14" s="302">
        <f>H14+J14</f>
        <v>0</v>
      </c>
      <c r="H14" s="297">
        <v>0</v>
      </c>
      <c r="I14" s="416">
        <v>0</v>
      </c>
      <c r="J14" s="202">
        <v>0</v>
      </c>
      <c r="K14" s="302">
        <f>L14+N14</f>
        <v>0</v>
      </c>
      <c r="L14" s="297">
        <v>0</v>
      </c>
      <c r="M14" s="297">
        <v>0</v>
      </c>
      <c r="N14" s="298">
        <v>0</v>
      </c>
      <c r="O14" s="302">
        <f>P14+R14</f>
        <v>0</v>
      </c>
      <c r="P14" s="297">
        <v>0</v>
      </c>
      <c r="Q14" s="202">
        <v>0</v>
      </c>
      <c r="R14" s="298">
        <v>0</v>
      </c>
      <c r="S14" s="287">
        <f>T14+V14</f>
        <v>79000</v>
      </c>
      <c r="T14" s="288">
        <f>D14+H14+L14+P14</f>
        <v>79000</v>
      </c>
      <c r="U14" s="288">
        <f>E14+I14+M14</f>
        <v>75400</v>
      </c>
      <c r="V14" s="289">
        <f>F14+J14+N14+R14</f>
        <v>0</v>
      </c>
    </row>
    <row r="15" spans="1:22" ht="13.5" customHeight="1" thickBot="1" x14ac:dyDescent="0.25">
      <c r="A15" s="100" t="s">
        <v>102</v>
      </c>
      <c r="B15" s="101" t="s">
        <v>220</v>
      </c>
      <c r="C15" s="276">
        <f>D15+F15</f>
        <v>8812648.629999999</v>
      </c>
      <c r="D15" s="277">
        <f>SUM(D16:D22)</f>
        <v>7279840.6299999999</v>
      </c>
      <c r="E15" s="415">
        <f>SUM(E16:E22)</f>
        <v>2957010</v>
      </c>
      <c r="F15" s="277">
        <f>SUM(F16:F22)</f>
        <v>1532808</v>
      </c>
      <c r="G15" s="276">
        <f>H15+J15</f>
        <v>3190186.3099999996</v>
      </c>
      <c r="H15" s="277">
        <f>SUM(H16:H22)</f>
        <v>2068833.9</v>
      </c>
      <c r="I15" s="415">
        <f>SUM(I16:I22)</f>
        <v>386690.1</v>
      </c>
      <c r="J15" s="277">
        <f>SUM(J16:J22)</f>
        <v>1121352.4099999999</v>
      </c>
      <c r="K15" s="276">
        <f>L15+N15</f>
        <v>121901.44</v>
      </c>
      <c r="L15" s="277">
        <f>SUM(L16:L22)</f>
        <v>121901.44</v>
      </c>
      <c r="M15" s="277">
        <f>SUM(M16:M22)</f>
        <v>0</v>
      </c>
      <c r="N15" s="277">
        <f>SUM(N16:N22)</f>
        <v>0</v>
      </c>
      <c r="O15" s="276">
        <f>P15+R15</f>
        <v>934345.12</v>
      </c>
      <c r="P15" s="277">
        <f>SUM(P16:P22)</f>
        <v>0</v>
      </c>
      <c r="Q15" s="277">
        <f>SUM(Q16:Q22)</f>
        <v>0</v>
      </c>
      <c r="R15" s="277">
        <f>SUM(R16:R22)</f>
        <v>934345.12</v>
      </c>
      <c r="S15" s="276">
        <f>T15+V15</f>
        <v>13059081.5</v>
      </c>
      <c r="T15" s="277">
        <f>D15+H15+L15+P15</f>
        <v>9470575.9699999988</v>
      </c>
      <c r="U15" s="277">
        <f>E15+I15+M15+Q15</f>
        <v>3343700.1</v>
      </c>
      <c r="V15" s="290">
        <f>F15+J15+N15+R15</f>
        <v>3588505.5300000003</v>
      </c>
    </row>
    <row r="16" spans="1:22" ht="13.5" customHeight="1" x14ac:dyDescent="0.2">
      <c r="A16" s="83"/>
      <c r="B16" s="102" t="s">
        <v>141</v>
      </c>
      <c r="C16" s="185">
        <f>D16+F16</f>
        <v>317800</v>
      </c>
      <c r="D16" s="202">
        <f>SUM('prog-6'!D15)</f>
        <v>281500</v>
      </c>
      <c r="E16" s="416">
        <f>SUM('prog-6'!E15)</f>
        <v>0</v>
      </c>
      <c r="F16" s="202">
        <f>SUM('prog-6'!F15)</f>
        <v>36300</v>
      </c>
      <c r="G16" s="185">
        <f>H16+J16</f>
        <v>852914.62999999989</v>
      </c>
      <c r="H16" s="202">
        <f>SUM('prog-6'!H15)</f>
        <v>670756.18999999994</v>
      </c>
      <c r="I16" s="416">
        <f>SUM('prog-6'!I15)</f>
        <v>2095.8000000000002</v>
      </c>
      <c r="J16" s="202">
        <f>SUM('prog-6'!J15)</f>
        <v>182158.44</v>
      </c>
      <c r="K16" s="185">
        <f>L16+N16</f>
        <v>0</v>
      </c>
      <c r="L16" s="202">
        <f>SUM('prog-6'!L15)</f>
        <v>0</v>
      </c>
      <c r="M16" s="202">
        <f>SUM('prog-6'!M15)</f>
        <v>0</v>
      </c>
      <c r="N16" s="202">
        <f>SUM('prog-6'!N15)</f>
        <v>0</v>
      </c>
      <c r="O16" s="185">
        <f>P16+R16</f>
        <v>101680</v>
      </c>
      <c r="P16" s="202">
        <f>SUM('prog-6'!P15)</f>
        <v>0</v>
      </c>
      <c r="Q16" s="202">
        <f>SUM('prog-6'!Q15)</f>
        <v>0</v>
      </c>
      <c r="R16" s="202">
        <f>SUM('prog-6'!R15)</f>
        <v>101680</v>
      </c>
      <c r="S16" s="185">
        <f>T16+V16</f>
        <v>1272394.6299999999</v>
      </c>
      <c r="T16" s="186">
        <f>SUM(D16,H16,L16,P16,)</f>
        <v>952256.19</v>
      </c>
      <c r="U16" s="186">
        <f t="shared" ref="U16:V16" si="0">SUM(E16,I16,M16,Q16,)</f>
        <v>2095.8000000000002</v>
      </c>
      <c r="V16" s="294">
        <f t="shared" si="0"/>
        <v>320138.44</v>
      </c>
    </row>
    <row r="17" spans="1:26" ht="13.5" customHeight="1" x14ac:dyDescent="0.2">
      <c r="A17" s="83"/>
      <c r="B17" s="94" t="s">
        <v>154</v>
      </c>
      <c r="C17" s="185">
        <f t="shared" ref="C17:C27" si="1">D17+F17</f>
        <v>2155932.02</v>
      </c>
      <c r="D17" s="187">
        <f>SUM('prog-6'!D36)</f>
        <v>1780524.02</v>
      </c>
      <c r="E17" s="417">
        <f>SUM('prog-6'!E36)</f>
        <v>605610</v>
      </c>
      <c r="F17" s="187">
        <f>SUM('prog-6'!F36)</f>
        <v>375408</v>
      </c>
      <c r="G17" s="291">
        <f t="shared" ref="G17:G81" si="2">H17+J17</f>
        <v>876350.65999999992</v>
      </c>
      <c r="H17" s="187">
        <f>SUM('prog-6'!H36)</f>
        <v>158356.69</v>
      </c>
      <c r="I17" s="417">
        <f>SUM('prog-6'!I36)</f>
        <v>3347.3</v>
      </c>
      <c r="J17" s="187">
        <f>SUM('prog-6'!J36)</f>
        <v>717993.97</v>
      </c>
      <c r="K17" s="291">
        <f t="shared" ref="K17:K66" si="3">L17+N17</f>
        <v>30709.22</v>
      </c>
      <c r="L17" s="187">
        <f>SUM('prog-6'!L36)</f>
        <v>30709.22</v>
      </c>
      <c r="M17" s="187">
        <f>SUM('prog-6'!M36)</f>
        <v>0</v>
      </c>
      <c r="N17" s="187">
        <f>SUM('prog-6'!N36)</f>
        <v>0</v>
      </c>
      <c r="O17" s="185">
        <f t="shared" ref="O17:O81" si="4">P17+R17</f>
        <v>817665.12</v>
      </c>
      <c r="P17" s="187">
        <f>SUM('prog-6'!P36)</f>
        <v>0</v>
      </c>
      <c r="Q17" s="187">
        <f>SUM('prog-6'!Q36)</f>
        <v>0</v>
      </c>
      <c r="R17" s="187">
        <f>SUM('prog-6'!R36)</f>
        <v>817665.12</v>
      </c>
      <c r="S17" s="185">
        <f t="shared" ref="S17:S76" si="5">T17+V17</f>
        <v>3880657.0199999996</v>
      </c>
      <c r="T17" s="186">
        <f t="shared" ref="T17:T22" si="6">SUM(D17,H17,L17,P17,)</f>
        <v>1969589.93</v>
      </c>
      <c r="U17" s="186">
        <f t="shared" ref="U17:U22" si="7">SUM(E17,I17,M17,Q17,)</f>
        <v>608957.30000000005</v>
      </c>
      <c r="V17" s="230">
        <f t="shared" ref="V17:V22" si="8">SUM(F17,J17,N17,R17,)</f>
        <v>1911067.0899999999</v>
      </c>
    </row>
    <row r="18" spans="1:26" ht="13.5" customHeight="1" x14ac:dyDescent="0.2">
      <c r="A18" s="83"/>
      <c r="B18" s="94" t="s">
        <v>174</v>
      </c>
      <c r="C18" s="185">
        <f t="shared" si="1"/>
        <v>122300</v>
      </c>
      <c r="D18" s="187">
        <f>SUM('prog-6'!D185)</f>
        <v>99300</v>
      </c>
      <c r="E18" s="417">
        <f>SUM('prog-6'!E185)</f>
        <v>0</v>
      </c>
      <c r="F18" s="187">
        <f>SUM('prog-6'!F185)</f>
        <v>23000</v>
      </c>
      <c r="G18" s="291">
        <f t="shared" si="2"/>
        <v>0</v>
      </c>
      <c r="H18" s="187">
        <f>SUM('prog-6'!H185)</f>
        <v>0</v>
      </c>
      <c r="I18" s="417">
        <f>SUM('prog-6'!I185)</f>
        <v>0</v>
      </c>
      <c r="J18" s="187">
        <f>SUM('prog-6'!J185)</f>
        <v>0</v>
      </c>
      <c r="K18" s="291">
        <f t="shared" si="3"/>
        <v>2000</v>
      </c>
      <c r="L18" s="187">
        <f>SUM('prog-6'!L185)</f>
        <v>2000</v>
      </c>
      <c r="M18" s="187">
        <f>SUM('prog-6'!M185)</f>
        <v>0</v>
      </c>
      <c r="N18" s="187">
        <f>SUM('prog-6'!N185)</f>
        <v>0</v>
      </c>
      <c r="O18" s="185">
        <f t="shared" si="4"/>
        <v>15000</v>
      </c>
      <c r="P18" s="187">
        <f>SUM('prog-6'!P185)</f>
        <v>0</v>
      </c>
      <c r="Q18" s="187">
        <f>SUM('prog-6'!Q185)</f>
        <v>0</v>
      </c>
      <c r="R18" s="187">
        <f>SUM('prog-6'!R185)</f>
        <v>15000</v>
      </c>
      <c r="S18" s="185">
        <f t="shared" si="5"/>
        <v>139300</v>
      </c>
      <c r="T18" s="186">
        <f t="shared" si="6"/>
        <v>101300</v>
      </c>
      <c r="U18" s="186">
        <f t="shared" si="7"/>
        <v>0</v>
      </c>
      <c r="V18" s="230">
        <f t="shared" si="8"/>
        <v>38000</v>
      </c>
    </row>
    <row r="19" spans="1:26" ht="13.5" customHeight="1" x14ac:dyDescent="0.2">
      <c r="A19" s="83"/>
      <c r="B19" s="94" t="s">
        <v>326</v>
      </c>
      <c r="C19" s="185">
        <f t="shared" si="1"/>
        <v>2041200</v>
      </c>
      <c r="D19" s="187">
        <f>SUM('prog-6'!D236)</f>
        <v>1951200</v>
      </c>
      <c r="E19" s="417">
        <f>SUM('prog-6'!E236)</f>
        <v>130000</v>
      </c>
      <c r="F19" s="187">
        <f>SUM('prog-6'!F236)</f>
        <v>90000</v>
      </c>
      <c r="G19" s="291">
        <f t="shared" si="2"/>
        <v>681953.02</v>
      </c>
      <c r="H19" s="187">
        <f>SUM('prog-6'!H236)</f>
        <v>555653.02</v>
      </c>
      <c r="I19" s="417">
        <f>SUM('prog-6'!I236)</f>
        <v>36800</v>
      </c>
      <c r="J19" s="187">
        <f>SUM('prog-6'!J236)</f>
        <v>126300</v>
      </c>
      <c r="K19" s="291">
        <f t="shared" si="3"/>
        <v>0</v>
      </c>
      <c r="L19" s="187">
        <f>SUM('prog-6'!L236)</f>
        <v>0</v>
      </c>
      <c r="M19" s="187">
        <f>SUM('prog-6'!M236)</f>
        <v>0</v>
      </c>
      <c r="N19" s="187">
        <f>SUM('prog-6'!N236)</f>
        <v>0</v>
      </c>
      <c r="O19" s="185">
        <f t="shared" si="4"/>
        <v>0</v>
      </c>
      <c r="P19" s="187">
        <f>SUM('prog-6'!P236)</f>
        <v>0</v>
      </c>
      <c r="Q19" s="187">
        <f>SUM('prog-6'!Q236)</f>
        <v>0</v>
      </c>
      <c r="R19" s="187">
        <f>SUM('prog-6'!R236)</f>
        <v>0</v>
      </c>
      <c r="S19" s="185">
        <f t="shared" si="5"/>
        <v>2723153.02</v>
      </c>
      <c r="T19" s="186">
        <f t="shared" si="6"/>
        <v>2506853.02</v>
      </c>
      <c r="U19" s="186">
        <f t="shared" si="7"/>
        <v>166800</v>
      </c>
      <c r="V19" s="300">
        <f t="shared" si="8"/>
        <v>216300</v>
      </c>
      <c r="W19" s="150"/>
    </row>
    <row r="20" spans="1:26" ht="13.5" customHeight="1" x14ac:dyDescent="0.2">
      <c r="A20" s="83"/>
      <c r="B20" s="94" t="s">
        <v>327</v>
      </c>
      <c r="C20" s="185">
        <f t="shared" si="1"/>
        <v>55918</v>
      </c>
      <c r="D20" s="187">
        <f>SUM('prog-6'!D300)</f>
        <v>55918</v>
      </c>
      <c r="E20" s="417">
        <f>SUM('prog-6'!E300)</f>
        <v>0</v>
      </c>
      <c r="F20" s="187">
        <f>SUM('prog-6'!F300)</f>
        <v>0</v>
      </c>
      <c r="G20" s="291">
        <f t="shared" si="2"/>
        <v>880</v>
      </c>
      <c r="H20" s="187">
        <f>SUM('prog-6'!H300)</f>
        <v>680</v>
      </c>
      <c r="I20" s="417">
        <f>SUM('prog-6'!I300)</f>
        <v>0</v>
      </c>
      <c r="J20" s="187">
        <f>SUM('prog-6'!J300)</f>
        <v>200</v>
      </c>
      <c r="K20" s="291">
        <f t="shared" si="3"/>
        <v>0</v>
      </c>
      <c r="L20" s="187">
        <f>SUM('prog-6'!L300)</f>
        <v>0</v>
      </c>
      <c r="M20" s="187">
        <f>SUM('prog-6'!M300)</f>
        <v>0</v>
      </c>
      <c r="N20" s="187">
        <f>SUM('prog-6'!N300)</f>
        <v>0</v>
      </c>
      <c r="O20" s="185">
        <f t="shared" si="4"/>
        <v>0</v>
      </c>
      <c r="P20" s="187">
        <f>SUM('prog-6'!P300)</f>
        <v>0</v>
      </c>
      <c r="Q20" s="187">
        <f>SUM('prog-6'!Q300)</f>
        <v>0</v>
      </c>
      <c r="R20" s="187">
        <f>SUM('prog-6'!R300)</f>
        <v>0</v>
      </c>
      <c r="S20" s="185">
        <f t="shared" si="5"/>
        <v>56798</v>
      </c>
      <c r="T20" s="186">
        <f t="shared" si="6"/>
        <v>56598</v>
      </c>
      <c r="U20" s="186">
        <f t="shared" si="7"/>
        <v>0</v>
      </c>
      <c r="V20" s="300">
        <f t="shared" si="8"/>
        <v>200</v>
      </c>
      <c r="W20" s="150"/>
    </row>
    <row r="21" spans="1:26" ht="13.5" customHeight="1" x14ac:dyDescent="0.2">
      <c r="A21" s="83"/>
      <c r="B21" s="94" t="s">
        <v>328</v>
      </c>
      <c r="C21" s="185">
        <f t="shared" si="1"/>
        <v>387600</v>
      </c>
      <c r="D21" s="187">
        <f>SUM('prog-6'!D320)</f>
        <v>387600</v>
      </c>
      <c r="E21" s="417">
        <f>SUM('prog-6'!E320)</f>
        <v>0</v>
      </c>
      <c r="F21" s="187">
        <f>SUM('prog-6'!F320)</f>
        <v>0</v>
      </c>
      <c r="G21" s="291">
        <f t="shared" si="2"/>
        <v>391200</v>
      </c>
      <c r="H21" s="187">
        <f>SUM('prog-6'!H320)</f>
        <v>296500</v>
      </c>
      <c r="I21" s="417">
        <f>SUM('prog-6'!I320)</f>
        <v>6135</v>
      </c>
      <c r="J21" s="187">
        <f>SUM('prog-6'!J320)</f>
        <v>94700</v>
      </c>
      <c r="K21" s="291">
        <f t="shared" si="3"/>
        <v>0</v>
      </c>
      <c r="L21" s="187">
        <f>SUM('prog-6'!L320)</f>
        <v>0</v>
      </c>
      <c r="M21" s="187">
        <f>SUM('prog-6'!M320)</f>
        <v>0</v>
      </c>
      <c r="N21" s="187">
        <f>SUM('prog-6'!N320)</f>
        <v>0</v>
      </c>
      <c r="O21" s="185">
        <f t="shared" si="4"/>
        <v>0</v>
      </c>
      <c r="P21" s="187">
        <f>SUM('prog-6'!P320)</f>
        <v>0</v>
      </c>
      <c r="Q21" s="187">
        <f>SUM('prog-6'!Q320)</f>
        <v>0</v>
      </c>
      <c r="R21" s="187">
        <f>SUM('prog-6'!R320)</f>
        <v>0</v>
      </c>
      <c r="S21" s="185">
        <f t="shared" si="5"/>
        <v>778800</v>
      </c>
      <c r="T21" s="186">
        <f t="shared" si="6"/>
        <v>684100</v>
      </c>
      <c r="U21" s="186">
        <f t="shared" si="7"/>
        <v>6135</v>
      </c>
      <c r="V21" s="300">
        <f t="shared" si="8"/>
        <v>94700</v>
      </c>
      <c r="W21" s="150"/>
    </row>
    <row r="22" spans="1:26" ht="13.5" customHeight="1" thickBot="1" x14ac:dyDescent="0.25">
      <c r="A22" s="103"/>
      <c r="B22" s="104" t="s">
        <v>329</v>
      </c>
      <c r="C22" s="201">
        <f t="shared" si="1"/>
        <v>3731898.6100000003</v>
      </c>
      <c r="D22" s="280">
        <f>SUM('prog-6'!D464)</f>
        <v>2723798.6100000003</v>
      </c>
      <c r="E22" s="418">
        <f>SUM('prog-6'!E464)</f>
        <v>2221400</v>
      </c>
      <c r="F22" s="280">
        <f>SUM('prog-6'!F464)</f>
        <v>1008100</v>
      </c>
      <c r="G22" s="281">
        <f t="shared" si="2"/>
        <v>386888</v>
      </c>
      <c r="H22" s="280">
        <f>SUM('prog-6'!H464)</f>
        <v>386888</v>
      </c>
      <c r="I22" s="418">
        <f>SUM('prog-6'!I464)</f>
        <v>338312</v>
      </c>
      <c r="J22" s="280">
        <f>SUM('prog-6'!J464)</f>
        <v>0</v>
      </c>
      <c r="K22" s="281">
        <f t="shared" si="3"/>
        <v>89192.22</v>
      </c>
      <c r="L22" s="280">
        <f>SUM('prog-6'!L464)</f>
        <v>89192.22</v>
      </c>
      <c r="M22" s="280">
        <f>SUM('prog-6'!M464)</f>
        <v>0</v>
      </c>
      <c r="N22" s="280">
        <f>SUM('prog-6'!N464)</f>
        <v>0</v>
      </c>
      <c r="O22" s="201">
        <f t="shared" si="4"/>
        <v>0</v>
      </c>
      <c r="P22" s="280">
        <f>SUM('prog-6'!P464)</f>
        <v>0</v>
      </c>
      <c r="Q22" s="280">
        <f>SUM('prog-6'!Q464)</f>
        <v>0</v>
      </c>
      <c r="R22" s="280">
        <f>SUM('prog-6'!R464)</f>
        <v>0</v>
      </c>
      <c r="S22" s="201">
        <f t="shared" si="5"/>
        <v>4207978.83</v>
      </c>
      <c r="T22" s="186">
        <f t="shared" si="6"/>
        <v>3199878.8300000005</v>
      </c>
      <c r="U22" s="186">
        <f t="shared" si="7"/>
        <v>2559712</v>
      </c>
      <c r="V22" s="300">
        <f t="shared" si="8"/>
        <v>1008100</v>
      </c>
      <c r="W22" s="150"/>
    </row>
    <row r="23" spans="1:26" ht="24" customHeight="1" thickBot="1" x14ac:dyDescent="0.25">
      <c r="A23" s="96" t="s">
        <v>103</v>
      </c>
      <c r="B23" s="101" t="s">
        <v>221</v>
      </c>
      <c r="C23" s="276">
        <f>D23+F23</f>
        <v>231500</v>
      </c>
      <c r="D23" s="277">
        <f>SUM(D24:D26)</f>
        <v>151200</v>
      </c>
      <c r="E23" s="415">
        <f>SUM(E24:E26)</f>
        <v>0</v>
      </c>
      <c r="F23" s="277">
        <f>SUM(F24:F26)</f>
        <v>80300</v>
      </c>
      <c r="G23" s="276">
        <f t="shared" si="2"/>
        <v>0</v>
      </c>
      <c r="H23" s="277">
        <f>SUM(H24:H26)</f>
        <v>0</v>
      </c>
      <c r="I23" s="415">
        <f>SUM(I24:I26)</f>
        <v>0</v>
      </c>
      <c r="J23" s="293">
        <f>SUM(J24:J26)</f>
        <v>0</v>
      </c>
      <c r="K23" s="276">
        <f t="shared" si="3"/>
        <v>15750</v>
      </c>
      <c r="L23" s="277">
        <f>SUM(L24:L26)</f>
        <v>15750</v>
      </c>
      <c r="M23" s="277">
        <f>SUM(M24:M26)</f>
        <v>0</v>
      </c>
      <c r="N23" s="293">
        <f>SUM(N24:N26)</f>
        <v>0</v>
      </c>
      <c r="O23" s="276">
        <f t="shared" si="4"/>
        <v>0</v>
      </c>
      <c r="P23" s="277">
        <f>SUM(P24:P26)</f>
        <v>0</v>
      </c>
      <c r="Q23" s="293"/>
      <c r="R23" s="293">
        <f>SUM(R24:R26)</f>
        <v>0</v>
      </c>
      <c r="S23" s="276">
        <f>T23+V23</f>
        <v>247250</v>
      </c>
      <c r="T23" s="277">
        <f>D23+H23+L23+P23</f>
        <v>166950</v>
      </c>
      <c r="U23" s="277">
        <f>E23+I23+M23+Q23</f>
        <v>0</v>
      </c>
      <c r="V23" s="290">
        <f>F23+J23+N23+R23</f>
        <v>80300</v>
      </c>
      <c r="W23" s="146"/>
      <c r="X23" s="146"/>
      <c r="Y23" s="146">
        <f t="shared" ref="Y23" si="9">SUM(E23,E27,E31,E35,E39,E43,E47,E51,E55,E59,E63)</f>
        <v>0</v>
      </c>
      <c r="Z23" s="146"/>
    </row>
    <row r="24" spans="1:26" ht="13.5" customHeight="1" x14ac:dyDescent="0.2">
      <c r="A24" s="84"/>
      <c r="B24" s="102" t="s">
        <v>154</v>
      </c>
      <c r="C24" s="185">
        <f t="shared" si="1"/>
        <v>220300</v>
      </c>
      <c r="D24" s="186">
        <f>SUM('prog-6'!D85)</f>
        <v>141300</v>
      </c>
      <c r="E24" s="419">
        <f>SUM('prog-6'!E85)</f>
        <v>0</v>
      </c>
      <c r="F24" s="186">
        <f>SUM('prog-6'!F85)</f>
        <v>79000</v>
      </c>
      <c r="G24" s="185">
        <f t="shared" si="2"/>
        <v>0</v>
      </c>
      <c r="H24" s="186">
        <f>SUM('prog-6'!H85)</f>
        <v>0</v>
      </c>
      <c r="I24" s="419">
        <f>SUM('prog-6'!I85)</f>
        <v>0</v>
      </c>
      <c r="J24" s="186">
        <f>SUM('prog-6'!J85)</f>
        <v>0</v>
      </c>
      <c r="K24" s="185">
        <f t="shared" si="3"/>
        <v>15750</v>
      </c>
      <c r="L24" s="186">
        <f>SUM('prog-6'!L85)</f>
        <v>15750</v>
      </c>
      <c r="M24" s="186">
        <f>SUM('prog-6'!M85)</f>
        <v>0</v>
      </c>
      <c r="N24" s="186">
        <f>SUM('prog-6'!N85)</f>
        <v>0</v>
      </c>
      <c r="O24" s="185">
        <f t="shared" si="4"/>
        <v>0</v>
      </c>
      <c r="P24" s="186">
        <f>SUM('prog-6'!P85)</f>
        <v>0</v>
      </c>
      <c r="Q24" s="186">
        <f>SUM('prog-6'!Q85)</f>
        <v>0</v>
      </c>
      <c r="R24" s="186">
        <f>SUM('prog-6'!R85)</f>
        <v>0</v>
      </c>
      <c r="S24" s="185">
        <f t="shared" si="5"/>
        <v>236050</v>
      </c>
      <c r="T24" s="186">
        <f>SUM(D24,H24,L24,P24,)</f>
        <v>157050</v>
      </c>
      <c r="U24" s="186">
        <f t="shared" ref="U24:U26" si="10">SUM(E24,I24,M24,Q24,)</f>
        <v>0</v>
      </c>
      <c r="V24" s="300">
        <f t="shared" ref="V24:V26" si="11">SUM(F24,J24,N24,R24,)</f>
        <v>79000</v>
      </c>
      <c r="W24" s="150"/>
    </row>
    <row r="25" spans="1:26" ht="13.5" customHeight="1" x14ac:dyDescent="0.2">
      <c r="A25" s="84"/>
      <c r="B25" s="94" t="s">
        <v>174</v>
      </c>
      <c r="C25" s="291">
        <f t="shared" si="1"/>
        <v>1000</v>
      </c>
      <c r="D25" s="187">
        <f>SUM('prog-6'!D223)</f>
        <v>1000</v>
      </c>
      <c r="E25" s="417">
        <f>SUM('prog-6'!E223)</f>
        <v>0</v>
      </c>
      <c r="F25" s="187">
        <f>SUM('prog-6'!F223)</f>
        <v>0</v>
      </c>
      <c r="G25" s="291">
        <f t="shared" si="2"/>
        <v>0</v>
      </c>
      <c r="H25" s="187">
        <f>SUM('prog-6'!H223)</f>
        <v>0</v>
      </c>
      <c r="I25" s="417">
        <f>SUM('prog-6'!I223)</f>
        <v>0</v>
      </c>
      <c r="J25" s="187">
        <f>SUM('prog-6'!J223)</f>
        <v>0</v>
      </c>
      <c r="K25" s="291">
        <f t="shared" si="3"/>
        <v>0</v>
      </c>
      <c r="L25" s="187">
        <f>SUM('prog-6'!L223)</f>
        <v>0</v>
      </c>
      <c r="M25" s="187">
        <f>SUM('prog-6'!M223)</f>
        <v>0</v>
      </c>
      <c r="N25" s="187">
        <f>SUM('prog-6'!N223)</f>
        <v>0</v>
      </c>
      <c r="O25" s="185">
        <f t="shared" si="4"/>
        <v>0</v>
      </c>
      <c r="P25" s="187">
        <f>SUM('prog-6'!P223)</f>
        <v>0</v>
      </c>
      <c r="Q25" s="187">
        <f>SUM('prog-6'!Q223)</f>
        <v>0</v>
      </c>
      <c r="R25" s="187">
        <f>SUM('prog-6'!R223)</f>
        <v>0</v>
      </c>
      <c r="S25" s="291">
        <f t="shared" si="5"/>
        <v>1000</v>
      </c>
      <c r="T25" s="186">
        <f t="shared" ref="T25:T26" si="12">SUM(D25,H25,L25,P25,)</f>
        <v>1000</v>
      </c>
      <c r="U25" s="186">
        <f t="shared" si="10"/>
        <v>0</v>
      </c>
      <c r="V25" s="300">
        <f t="shared" si="11"/>
        <v>0</v>
      </c>
      <c r="W25" s="150"/>
    </row>
    <row r="26" spans="1:26" ht="13.5" customHeight="1" thickBot="1" x14ac:dyDescent="0.25">
      <c r="A26" s="98"/>
      <c r="B26" s="104" t="s">
        <v>329</v>
      </c>
      <c r="C26" s="281">
        <f t="shared" si="1"/>
        <v>10200</v>
      </c>
      <c r="D26" s="280">
        <f>SUM('prog-6'!D494)</f>
        <v>8900</v>
      </c>
      <c r="E26" s="418">
        <f>SUM('prog-6'!E494)</f>
        <v>0</v>
      </c>
      <c r="F26" s="280">
        <f>SUM('prog-6'!F494)</f>
        <v>1300</v>
      </c>
      <c r="G26" s="281">
        <f t="shared" si="2"/>
        <v>0</v>
      </c>
      <c r="H26" s="280">
        <f>SUM('prog-6'!H494)</f>
        <v>0</v>
      </c>
      <c r="I26" s="418">
        <f>SUM('prog-6'!I494)</f>
        <v>0</v>
      </c>
      <c r="J26" s="280">
        <f>SUM('prog-6'!J494)</f>
        <v>0</v>
      </c>
      <c r="K26" s="281">
        <f t="shared" si="3"/>
        <v>0</v>
      </c>
      <c r="L26" s="280">
        <f>SUM('prog-6'!L494)</f>
        <v>0</v>
      </c>
      <c r="M26" s="280">
        <f>SUM('prog-6'!M494)</f>
        <v>0</v>
      </c>
      <c r="N26" s="280">
        <f>SUM('prog-6'!N494)</f>
        <v>0</v>
      </c>
      <c r="O26" s="185">
        <f t="shared" si="4"/>
        <v>0</v>
      </c>
      <c r="P26" s="280">
        <f>SUM('prog-6'!P494)</f>
        <v>0</v>
      </c>
      <c r="Q26" s="280">
        <f>SUM('prog-6'!Q494)</f>
        <v>0</v>
      </c>
      <c r="R26" s="280">
        <f>SUM('prog-6'!R494)</f>
        <v>0</v>
      </c>
      <c r="S26" s="281">
        <f t="shared" si="5"/>
        <v>10200</v>
      </c>
      <c r="T26" s="186">
        <f t="shared" si="12"/>
        <v>8900</v>
      </c>
      <c r="U26" s="186">
        <f t="shared" si="10"/>
        <v>0</v>
      </c>
      <c r="V26" s="300">
        <f t="shared" si="11"/>
        <v>1300</v>
      </c>
      <c r="W26" s="150"/>
    </row>
    <row r="27" spans="1:26" ht="23.25" customHeight="1" thickBot="1" x14ac:dyDescent="0.25">
      <c r="A27" s="100" t="s">
        <v>222</v>
      </c>
      <c r="B27" s="101" t="s">
        <v>223</v>
      </c>
      <c r="C27" s="276">
        <f t="shared" si="1"/>
        <v>64300</v>
      </c>
      <c r="D27" s="277">
        <f>SUM(D28:D30)</f>
        <v>42300</v>
      </c>
      <c r="E27" s="415">
        <f>SUM(E28:E30)</f>
        <v>0</v>
      </c>
      <c r="F27" s="293">
        <f>SUM(F28:F30)</f>
        <v>22000</v>
      </c>
      <c r="G27" s="276">
        <f t="shared" si="2"/>
        <v>0</v>
      </c>
      <c r="H27" s="277">
        <f>SUM(H28:H30)</f>
        <v>0</v>
      </c>
      <c r="I27" s="415">
        <f>SUM(I28:I30)</f>
        <v>0</v>
      </c>
      <c r="J27" s="293">
        <f>SUM(J28:J30)</f>
        <v>0</v>
      </c>
      <c r="K27" s="276">
        <f t="shared" si="3"/>
        <v>124.82</v>
      </c>
      <c r="L27" s="277">
        <f>SUM(L28:L30)</f>
        <v>124.82</v>
      </c>
      <c r="M27" s="277">
        <f>SUM(M28:M30)</f>
        <v>0</v>
      </c>
      <c r="N27" s="293">
        <f>SUM(N28:N30)</f>
        <v>0</v>
      </c>
      <c r="O27" s="276">
        <f t="shared" si="4"/>
        <v>0</v>
      </c>
      <c r="P27" s="277">
        <f>SUM(P28:P30)</f>
        <v>0</v>
      </c>
      <c r="Q27" s="293"/>
      <c r="R27" s="293">
        <f>SUM(R28:R30)</f>
        <v>0</v>
      </c>
      <c r="S27" s="276">
        <f>T27+V27</f>
        <v>64424.82</v>
      </c>
      <c r="T27" s="277">
        <f>D27+H27+L27+P27</f>
        <v>42424.82</v>
      </c>
      <c r="U27" s="277">
        <f>E27+I27+M27+Q27</f>
        <v>0</v>
      </c>
      <c r="V27" s="290">
        <f>F27+J27+N27+R27</f>
        <v>22000</v>
      </c>
    </row>
    <row r="28" spans="1:26" ht="12.75" customHeight="1" x14ac:dyDescent="0.2">
      <c r="A28" s="83"/>
      <c r="B28" s="102" t="s">
        <v>154</v>
      </c>
      <c r="C28" s="185">
        <f>D28+F28</f>
        <v>31800</v>
      </c>
      <c r="D28" s="186">
        <f>SUM('prog-6'!D93)</f>
        <v>31800</v>
      </c>
      <c r="E28" s="419">
        <f>SUM('prog-6'!E93)</f>
        <v>0</v>
      </c>
      <c r="F28" s="186">
        <f>SUM('prog-6'!F93)</f>
        <v>0</v>
      </c>
      <c r="G28" s="185">
        <f t="shared" si="2"/>
        <v>0</v>
      </c>
      <c r="H28" s="186">
        <f>SUM('prog-6'!H93)</f>
        <v>0</v>
      </c>
      <c r="I28" s="419">
        <f>SUM('prog-6'!I93)</f>
        <v>0</v>
      </c>
      <c r="J28" s="186">
        <f>SUM('prog-6'!J93)</f>
        <v>0</v>
      </c>
      <c r="K28" s="185">
        <f t="shared" si="3"/>
        <v>124.82</v>
      </c>
      <c r="L28" s="186">
        <f>SUM('prog-6'!L93)</f>
        <v>124.82</v>
      </c>
      <c r="M28" s="186">
        <f>SUM('prog-6'!M93)</f>
        <v>0</v>
      </c>
      <c r="N28" s="186">
        <f>SUM('prog-6'!N93)</f>
        <v>0</v>
      </c>
      <c r="O28" s="185">
        <f t="shared" si="4"/>
        <v>0</v>
      </c>
      <c r="P28" s="186">
        <f>SUM('prog-6'!P93)</f>
        <v>0</v>
      </c>
      <c r="Q28" s="186">
        <f>SUM('prog-6'!Q93)</f>
        <v>0</v>
      </c>
      <c r="R28" s="186">
        <f>SUM('prog-6'!R93)</f>
        <v>0</v>
      </c>
      <c r="S28" s="185">
        <f t="shared" si="5"/>
        <v>31924.82</v>
      </c>
      <c r="T28" s="186">
        <f>SUM(D28,H28,L28,P28,)</f>
        <v>31924.82</v>
      </c>
      <c r="U28" s="186">
        <f t="shared" ref="U28:U30" si="13">SUM(E28,I28,M28,Q28,)</f>
        <v>0</v>
      </c>
      <c r="V28" s="300">
        <f t="shared" ref="V28:V30" si="14">SUM(F28,J28,N28,R28,)</f>
        <v>0</v>
      </c>
      <c r="W28" s="150"/>
    </row>
    <row r="29" spans="1:26" ht="12.75" customHeight="1" x14ac:dyDescent="0.2">
      <c r="A29" s="83"/>
      <c r="B29" s="94" t="s">
        <v>174</v>
      </c>
      <c r="C29" s="291">
        <f>D29+F29</f>
        <v>300</v>
      </c>
      <c r="D29" s="187">
        <f>SUM('prog-6'!D224)</f>
        <v>300</v>
      </c>
      <c r="E29" s="417">
        <f>SUM('prog-6'!E224)</f>
        <v>0</v>
      </c>
      <c r="F29" s="187">
        <f>SUM('prog-6'!F224)</f>
        <v>0</v>
      </c>
      <c r="G29" s="291">
        <f t="shared" si="2"/>
        <v>0</v>
      </c>
      <c r="H29" s="187">
        <f>SUM('prog-6'!H224)</f>
        <v>0</v>
      </c>
      <c r="I29" s="417">
        <f>SUM('prog-6'!I224)</f>
        <v>0</v>
      </c>
      <c r="J29" s="187">
        <f>SUM('prog-6'!J224)</f>
        <v>0</v>
      </c>
      <c r="K29" s="291">
        <f t="shared" si="3"/>
        <v>0</v>
      </c>
      <c r="L29" s="187">
        <f>SUM('prog-6'!L224)</f>
        <v>0</v>
      </c>
      <c r="M29" s="187">
        <f>SUM('prog-6'!M224)</f>
        <v>0</v>
      </c>
      <c r="N29" s="187">
        <f>SUM('prog-6'!N224)</f>
        <v>0</v>
      </c>
      <c r="O29" s="291">
        <f t="shared" si="4"/>
        <v>0</v>
      </c>
      <c r="P29" s="187">
        <f>SUM('prog-6'!P224)</f>
        <v>0</v>
      </c>
      <c r="Q29" s="187">
        <f>SUM('prog-6'!Q224)</f>
        <v>0</v>
      </c>
      <c r="R29" s="187">
        <f>SUM('prog-6'!R224)</f>
        <v>0</v>
      </c>
      <c r="S29" s="291">
        <f t="shared" si="5"/>
        <v>300</v>
      </c>
      <c r="T29" s="186">
        <f t="shared" ref="T29:T30" si="15">SUM(D29,H29,L29,P29,)</f>
        <v>300</v>
      </c>
      <c r="U29" s="186">
        <f t="shared" si="13"/>
        <v>0</v>
      </c>
      <c r="V29" s="300">
        <f t="shared" si="14"/>
        <v>0</v>
      </c>
      <c r="W29" s="150"/>
    </row>
    <row r="30" spans="1:26" ht="12.75" customHeight="1" thickBot="1" x14ac:dyDescent="0.25">
      <c r="A30" s="103"/>
      <c r="B30" s="104" t="s">
        <v>329</v>
      </c>
      <c r="C30" s="281">
        <f>D30+F30</f>
        <v>32200</v>
      </c>
      <c r="D30" s="280">
        <f>SUM('prog-6'!D497)</f>
        <v>10200</v>
      </c>
      <c r="E30" s="418">
        <f>SUM('prog-6'!E497)</f>
        <v>0</v>
      </c>
      <c r="F30" s="280">
        <f>SUM('prog-6'!F497)</f>
        <v>22000</v>
      </c>
      <c r="G30" s="281">
        <f t="shared" si="2"/>
        <v>0</v>
      </c>
      <c r="H30" s="280">
        <f>SUM('prog-6'!H497)</f>
        <v>0</v>
      </c>
      <c r="I30" s="418">
        <f>SUM('prog-6'!I497)</f>
        <v>0</v>
      </c>
      <c r="J30" s="280">
        <f>SUM('prog-6'!J497)</f>
        <v>0</v>
      </c>
      <c r="K30" s="281">
        <f t="shared" si="3"/>
        <v>0</v>
      </c>
      <c r="L30" s="280">
        <f>SUM('prog-6'!L497)</f>
        <v>0</v>
      </c>
      <c r="M30" s="280">
        <f>SUM('prog-6'!M497)</f>
        <v>0</v>
      </c>
      <c r="N30" s="280">
        <f>SUM('prog-6'!N497)</f>
        <v>0</v>
      </c>
      <c r="O30" s="281">
        <f t="shared" si="4"/>
        <v>0</v>
      </c>
      <c r="P30" s="280">
        <f>SUM('prog-6'!P497)</f>
        <v>0</v>
      </c>
      <c r="Q30" s="280">
        <f>SUM('prog-6'!Q497)</f>
        <v>0</v>
      </c>
      <c r="R30" s="280">
        <f>SUM('prog-6'!R497)</f>
        <v>0</v>
      </c>
      <c r="S30" s="281">
        <f t="shared" si="5"/>
        <v>32200</v>
      </c>
      <c r="T30" s="186">
        <f t="shared" si="15"/>
        <v>10200</v>
      </c>
      <c r="U30" s="186">
        <f t="shared" si="13"/>
        <v>0</v>
      </c>
      <c r="V30" s="300">
        <f t="shared" si="14"/>
        <v>22000</v>
      </c>
      <c r="W30" s="150"/>
    </row>
    <row r="31" spans="1:26" ht="24.75" customHeight="1" thickBot="1" x14ac:dyDescent="0.25">
      <c r="A31" s="96" t="s">
        <v>104</v>
      </c>
      <c r="B31" s="101" t="s">
        <v>224</v>
      </c>
      <c r="C31" s="276">
        <f>D31+F31</f>
        <v>84700</v>
      </c>
      <c r="D31" s="277">
        <f>SUM(D32:D34)</f>
        <v>63200</v>
      </c>
      <c r="E31" s="415">
        <f>SUM(E32:E34)</f>
        <v>0</v>
      </c>
      <c r="F31" s="293">
        <f>SUM(F32:F34)</f>
        <v>21500</v>
      </c>
      <c r="G31" s="276">
        <f t="shared" si="2"/>
        <v>0</v>
      </c>
      <c r="H31" s="277">
        <f>SUM(H32:H34)</f>
        <v>0</v>
      </c>
      <c r="I31" s="415">
        <f>SUM(I32:I34)</f>
        <v>0</v>
      </c>
      <c r="J31" s="293">
        <f>SUM(J32:J34)</f>
        <v>0</v>
      </c>
      <c r="K31" s="276">
        <f t="shared" si="3"/>
        <v>7402.07</v>
      </c>
      <c r="L31" s="277">
        <f>SUM(L32:L34)</f>
        <v>7402.07</v>
      </c>
      <c r="M31" s="277">
        <f>SUM(M32:M34)</f>
        <v>0</v>
      </c>
      <c r="N31" s="293">
        <f>SUM(N32:N34)</f>
        <v>0</v>
      </c>
      <c r="O31" s="276">
        <f t="shared" si="4"/>
        <v>0</v>
      </c>
      <c r="P31" s="277">
        <f>SUM(P32:P34)</f>
        <v>0</v>
      </c>
      <c r="Q31" s="293"/>
      <c r="R31" s="293">
        <f>SUM(R32:R34)</f>
        <v>0</v>
      </c>
      <c r="S31" s="276">
        <f>T31+V31</f>
        <v>92102.07</v>
      </c>
      <c r="T31" s="277">
        <f>D31+H31+L31+P31</f>
        <v>70602.070000000007</v>
      </c>
      <c r="U31" s="277">
        <f>E31+I31+M31+Q31</f>
        <v>0</v>
      </c>
      <c r="V31" s="290">
        <f>F31+J31+N31+R31</f>
        <v>21500</v>
      </c>
    </row>
    <row r="32" spans="1:26" ht="12" customHeight="1" x14ac:dyDescent="0.2">
      <c r="A32" s="84"/>
      <c r="B32" s="102" t="s">
        <v>154</v>
      </c>
      <c r="C32" s="185">
        <f t="shared" ref="C32:C97" si="16">D32+F32</f>
        <v>64400</v>
      </c>
      <c r="D32" s="186">
        <f>SUM('prog-6'!D102)</f>
        <v>44400</v>
      </c>
      <c r="E32" s="419">
        <f>SUM('prog-6'!E102)</f>
        <v>0</v>
      </c>
      <c r="F32" s="186">
        <f>SUM('prog-6'!F102)</f>
        <v>20000</v>
      </c>
      <c r="G32" s="185">
        <f t="shared" si="2"/>
        <v>0</v>
      </c>
      <c r="H32" s="186">
        <f>SUM('prog-6'!H102)</f>
        <v>0</v>
      </c>
      <c r="I32" s="419">
        <f>SUM('prog-6'!I102)</f>
        <v>0</v>
      </c>
      <c r="J32" s="186">
        <f>SUM('prog-6'!J102)</f>
        <v>0</v>
      </c>
      <c r="K32" s="185">
        <f t="shared" si="3"/>
        <v>7402.07</v>
      </c>
      <c r="L32" s="186">
        <f>SUM('prog-6'!L102)</f>
        <v>7402.07</v>
      </c>
      <c r="M32" s="186">
        <f>SUM('prog-6'!M102)</f>
        <v>0</v>
      </c>
      <c r="N32" s="186">
        <f>SUM('prog-6'!N102)</f>
        <v>0</v>
      </c>
      <c r="O32" s="185">
        <f t="shared" si="4"/>
        <v>0</v>
      </c>
      <c r="P32" s="186">
        <f>SUM('prog-6'!P102)</f>
        <v>0</v>
      </c>
      <c r="Q32" s="186">
        <f>SUM('prog-6'!Q102)</f>
        <v>0</v>
      </c>
      <c r="R32" s="186">
        <f>SUM('prog-6'!R102)</f>
        <v>0</v>
      </c>
      <c r="S32" s="185">
        <f t="shared" si="5"/>
        <v>71802.070000000007</v>
      </c>
      <c r="T32" s="186">
        <f>SUM(D32,H32,L32,P32,)</f>
        <v>51802.07</v>
      </c>
      <c r="U32" s="186">
        <f t="shared" ref="U32:U34" si="17">SUM(E32,I32,M32,Q32,)</f>
        <v>0</v>
      </c>
      <c r="V32" s="294">
        <f t="shared" ref="V32:V34" si="18">SUM(F32,J32,N32,R32,)</f>
        <v>20000</v>
      </c>
    </row>
    <row r="33" spans="1:23" ht="12" customHeight="1" x14ac:dyDescent="0.2">
      <c r="A33" s="84"/>
      <c r="B33" s="94" t="s">
        <v>174</v>
      </c>
      <c r="C33" s="291">
        <f t="shared" si="16"/>
        <v>4000</v>
      </c>
      <c r="D33" s="187">
        <f>SUM('prog-6'!D225)</f>
        <v>4000</v>
      </c>
      <c r="E33" s="417">
        <f>SUM('prog-6'!E225)</f>
        <v>0</v>
      </c>
      <c r="F33" s="187">
        <f>SUM('prog-6'!F225)</f>
        <v>0</v>
      </c>
      <c r="G33" s="291">
        <f t="shared" si="2"/>
        <v>0</v>
      </c>
      <c r="H33" s="187">
        <f>SUM('prog-6'!H225)</f>
        <v>0</v>
      </c>
      <c r="I33" s="417">
        <f>SUM('prog-6'!I225)</f>
        <v>0</v>
      </c>
      <c r="J33" s="187">
        <f>SUM('prog-6'!J225)</f>
        <v>0</v>
      </c>
      <c r="K33" s="291">
        <f t="shared" si="3"/>
        <v>0</v>
      </c>
      <c r="L33" s="187">
        <f>SUM('prog-6'!L225)</f>
        <v>0</v>
      </c>
      <c r="M33" s="187">
        <f>SUM('prog-6'!M225)</f>
        <v>0</v>
      </c>
      <c r="N33" s="187">
        <f>SUM('prog-6'!N225)</f>
        <v>0</v>
      </c>
      <c r="O33" s="291">
        <f t="shared" si="4"/>
        <v>0</v>
      </c>
      <c r="P33" s="187">
        <f>SUM('prog-6'!P225)</f>
        <v>0</v>
      </c>
      <c r="Q33" s="187">
        <f>SUM('prog-6'!Q225)</f>
        <v>0</v>
      </c>
      <c r="R33" s="187">
        <f>SUM('prog-6'!R225)</f>
        <v>0</v>
      </c>
      <c r="S33" s="291">
        <f t="shared" si="5"/>
        <v>4000</v>
      </c>
      <c r="T33" s="186">
        <f t="shared" ref="T33:T34" si="19">SUM(D33,H33,L33,P33,)</f>
        <v>4000</v>
      </c>
      <c r="U33" s="186">
        <f t="shared" si="17"/>
        <v>0</v>
      </c>
      <c r="V33" s="300">
        <f t="shared" si="18"/>
        <v>0</v>
      </c>
      <c r="W33" s="150"/>
    </row>
    <row r="34" spans="1:23" ht="12" customHeight="1" thickBot="1" x14ac:dyDescent="0.25">
      <c r="A34" s="98"/>
      <c r="B34" s="104" t="s">
        <v>329</v>
      </c>
      <c r="C34" s="281">
        <f t="shared" si="16"/>
        <v>16300</v>
      </c>
      <c r="D34" s="280">
        <f>SUM('prog-6'!D501)</f>
        <v>14800</v>
      </c>
      <c r="E34" s="418">
        <f>SUM('prog-6'!E501)</f>
        <v>0</v>
      </c>
      <c r="F34" s="280">
        <f>SUM('prog-6'!F501)</f>
        <v>1500</v>
      </c>
      <c r="G34" s="281">
        <f t="shared" si="2"/>
        <v>0</v>
      </c>
      <c r="H34" s="280">
        <f>SUM('prog-6'!H501)</f>
        <v>0</v>
      </c>
      <c r="I34" s="418">
        <f>SUM('prog-6'!I501)</f>
        <v>0</v>
      </c>
      <c r="J34" s="280">
        <f>SUM('prog-6'!J501)</f>
        <v>0</v>
      </c>
      <c r="K34" s="281">
        <f t="shared" si="3"/>
        <v>0</v>
      </c>
      <c r="L34" s="280">
        <f>SUM('prog-6'!L501)</f>
        <v>0</v>
      </c>
      <c r="M34" s="280">
        <f>SUM('prog-6'!M501)</f>
        <v>0</v>
      </c>
      <c r="N34" s="280">
        <f>SUM('prog-6'!N501)</f>
        <v>0</v>
      </c>
      <c r="O34" s="281">
        <f t="shared" si="4"/>
        <v>0</v>
      </c>
      <c r="P34" s="280">
        <f>SUM('prog-6'!P501)</f>
        <v>0</v>
      </c>
      <c r="Q34" s="280">
        <f>SUM('prog-6'!Q501)</f>
        <v>0</v>
      </c>
      <c r="R34" s="280">
        <f>SUM('prog-6'!R501)</f>
        <v>0</v>
      </c>
      <c r="S34" s="281">
        <f t="shared" si="5"/>
        <v>16300</v>
      </c>
      <c r="T34" s="186">
        <f t="shared" si="19"/>
        <v>14800</v>
      </c>
      <c r="U34" s="186">
        <f t="shared" si="17"/>
        <v>0</v>
      </c>
      <c r="V34" s="300">
        <f t="shared" si="18"/>
        <v>1500</v>
      </c>
      <c r="W34" s="150"/>
    </row>
    <row r="35" spans="1:23" ht="27" customHeight="1" thickBot="1" x14ac:dyDescent="0.25">
      <c r="A35" s="100" t="s">
        <v>105</v>
      </c>
      <c r="B35" s="101" t="s">
        <v>225</v>
      </c>
      <c r="C35" s="276">
        <f t="shared" si="16"/>
        <v>46200</v>
      </c>
      <c r="D35" s="277">
        <f>SUM(D36:D38)</f>
        <v>41200</v>
      </c>
      <c r="E35" s="415">
        <f>SUM(E36:E38)</f>
        <v>0</v>
      </c>
      <c r="F35" s="293">
        <f>SUM(F36:F38)</f>
        <v>5000</v>
      </c>
      <c r="G35" s="276">
        <f t="shared" si="2"/>
        <v>0</v>
      </c>
      <c r="H35" s="277">
        <f>SUM(H36:H38)</f>
        <v>0</v>
      </c>
      <c r="I35" s="415">
        <f>SUM(I36:I38)</f>
        <v>0</v>
      </c>
      <c r="J35" s="293">
        <f>SUM(J36:J38)</f>
        <v>0</v>
      </c>
      <c r="K35" s="276">
        <f t="shared" si="3"/>
        <v>1115.27</v>
      </c>
      <c r="L35" s="277">
        <f>SUM(L36:L38)</f>
        <v>1115.27</v>
      </c>
      <c r="M35" s="277">
        <f>SUM(M36:M38)</f>
        <v>0</v>
      </c>
      <c r="N35" s="293">
        <f>SUM(N36:N38)</f>
        <v>0</v>
      </c>
      <c r="O35" s="276">
        <f t="shared" si="4"/>
        <v>0</v>
      </c>
      <c r="P35" s="277">
        <f>SUM(P36:P38)</f>
        <v>0</v>
      </c>
      <c r="Q35" s="293"/>
      <c r="R35" s="293">
        <f>SUM(R36:R38)</f>
        <v>0</v>
      </c>
      <c r="S35" s="276">
        <f>T35+V35</f>
        <v>47315.27</v>
      </c>
      <c r="T35" s="277">
        <f>D35+H35+L35+P35</f>
        <v>42315.27</v>
      </c>
      <c r="U35" s="277">
        <f>E35+I35+M35+Q35</f>
        <v>0</v>
      </c>
      <c r="V35" s="290">
        <f>F35+J35+N35+R35</f>
        <v>5000</v>
      </c>
    </row>
    <row r="36" spans="1:23" ht="14.25" customHeight="1" x14ac:dyDescent="0.2">
      <c r="A36" s="83"/>
      <c r="B36" s="102" t="s">
        <v>154</v>
      </c>
      <c r="C36" s="185">
        <f t="shared" si="16"/>
        <v>36700</v>
      </c>
      <c r="D36" s="186">
        <f>SUM('prog-6'!D111)</f>
        <v>31700</v>
      </c>
      <c r="E36" s="419">
        <f>SUM('prog-6'!E111)</f>
        <v>0</v>
      </c>
      <c r="F36" s="186">
        <f>SUM('prog-6'!F111)</f>
        <v>5000</v>
      </c>
      <c r="G36" s="185">
        <f t="shared" si="2"/>
        <v>0</v>
      </c>
      <c r="H36" s="186">
        <f>SUM('prog-6'!H111)</f>
        <v>0</v>
      </c>
      <c r="I36" s="419">
        <f>SUM('prog-6'!I111)</f>
        <v>0</v>
      </c>
      <c r="J36" s="186">
        <f>SUM('prog-6'!J111)</f>
        <v>0</v>
      </c>
      <c r="K36" s="185">
        <f t="shared" si="3"/>
        <v>1115.27</v>
      </c>
      <c r="L36" s="186">
        <f>SUM('prog-6'!L111)</f>
        <v>1115.27</v>
      </c>
      <c r="M36" s="186">
        <f>SUM('prog-6'!M111)</f>
        <v>0</v>
      </c>
      <c r="N36" s="186">
        <f>SUM('prog-6'!N111)</f>
        <v>0</v>
      </c>
      <c r="O36" s="185">
        <f t="shared" si="4"/>
        <v>0</v>
      </c>
      <c r="P36" s="186">
        <f>SUM('prog-6'!P111)</f>
        <v>0</v>
      </c>
      <c r="Q36" s="186">
        <f>SUM('prog-6'!Q111)</f>
        <v>0</v>
      </c>
      <c r="R36" s="186">
        <f>SUM('prog-6'!R111)</f>
        <v>0</v>
      </c>
      <c r="S36" s="185">
        <f t="shared" si="5"/>
        <v>37815.269999999997</v>
      </c>
      <c r="T36" s="186">
        <f>SUM(D36,H36,L36,P36,)</f>
        <v>32815.269999999997</v>
      </c>
      <c r="U36" s="186">
        <f t="shared" ref="U36:U38" si="20">SUM(E36,I36,M36,Q36,)</f>
        <v>0</v>
      </c>
      <c r="V36" s="300">
        <f t="shared" ref="V36:V38" si="21">SUM(F36,J36,N36,R36,)</f>
        <v>5000</v>
      </c>
      <c r="W36" s="150"/>
    </row>
    <row r="37" spans="1:23" ht="14.25" customHeight="1" x14ac:dyDescent="0.2">
      <c r="A37" s="83"/>
      <c r="B37" s="94" t="s">
        <v>174</v>
      </c>
      <c r="C37" s="291">
        <f t="shared" si="16"/>
        <v>1200</v>
      </c>
      <c r="D37" s="187">
        <f>SUM('prog-6'!D226)</f>
        <v>1200</v>
      </c>
      <c r="E37" s="417">
        <f>SUM('prog-6'!E226)</f>
        <v>0</v>
      </c>
      <c r="F37" s="187">
        <f>SUM('prog-6'!F226)</f>
        <v>0</v>
      </c>
      <c r="G37" s="291">
        <f t="shared" si="2"/>
        <v>0</v>
      </c>
      <c r="H37" s="187">
        <f>SUM('prog-6'!H226)</f>
        <v>0</v>
      </c>
      <c r="I37" s="417">
        <f>SUM('prog-6'!I226)</f>
        <v>0</v>
      </c>
      <c r="J37" s="187">
        <f>SUM('prog-6'!J226)</f>
        <v>0</v>
      </c>
      <c r="K37" s="291">
        <f t="shared" si="3"/>
        <v>0</v>
      </c>
      <c r="L37" s="187">
        <f>SUM('prog-6'!L226)</f>
        <v>0</v>
      </c>
      <c r="M37" s="187">
        <f>SUM('prog-6'!M226)</f>
        <v>0</v>
      </c>
      <c r="N37" s="187">
        <f>SUM('prog-6'!N226)</f>
        <v>0</v>
      </c>
      <c r="O37" s="291">
        <f t="shared" si="4"/>
        <v>0</v>
      </c>
      <c r="P37" s="187">
        <f>SUM('prog-6'!P226)</f>
        <v>0</v>
      </c>
      <c r="Q37" s="187">
        <f>SUM('prog-6'!Q226)</f>
        <v>0</v>
      </c>
      <c r="R37" s="187">
        <f>SUM('prog-6'!R226)</f>
        <v>0</v>
      </c>
      <c r="S37" s="291">
        <f t="shared" si="5"/>
        <v>1200</v>
      </c>
      <c r="T37" s="186">
        <f t="shared" ref="T37:T38" si="22">SUM(D37,H37,L37,P37,)</f>
        <v>1200</v>
      </c>
      <c r="U37" s="186">
        <f t="shared" si="20"/>
        <v>0</v>
      </c>
      <c r="V37" s="300">
        <f t="shared" si="21"/>
        <v>0</v>
      </c>
      <c r="W37" s="150"/>
    </row>
    <row r="38" spans="1:23" ht="14.25" customHeight="1" thickBot="1" x14ac:dyDescent="0.25">
      <c r="A38" s="103"/>
      <c r="B38" s="104" t="s">
        <v>329</v>
      </c>
      <c r="C38" s="281">
        <f t="shared" si="16"/>
        <v>8300</v>
      </c>
      <c r="D38" s="280">
        <f>SUM('prog-6'!D505)</f>
        <v>8300</v>
      </c>
      <c r="E38" s="418">
        <f>SUM('prog-6'!E505)</f>
        <v>0</v>
      </c>
      <c r="F38" s="280">
        <f>SUM('prog-6'!F505)</f>
        <v>0</v>
      </c>
      <c r="G38" s="281">
        <f t="shared" si="2"/>
        <v>0</v>
      </c>
      <c r="H38" s="280">
        <f>SUM('prog-6'!H505)</f>
        <v>0</v>
      </c>
      <c r="I38" s="418">
        <f>SUM('prog-6'!I505)</f>
        <v>0</v>
      </c>
      <c r="J38" s="280">
        <f>SUM('prog-6'!J505)</f>
        <v>0</v>
      </c>
      <c r="K38" s="281">
        <f t="shared" si="3"/>
        <v>0</v>
      </c>
      <c r="L38" s="280">
        <f>SUM('prog-6'!L505)</f>
        <v>0</v>
      </c>
      <c r="M38" s="280">
        <f>SUM('prog-6'!M505)</f>
        <v>0</v>
      </c>
      <c r="N38" s="280">
        <f>SUM('prog-6'!N505)</f>
        <v>0</v>
      </c>
      <c r="O38" s="281">
        <f t="shared" si="4"/>
        <v>0</v>
      </c>
      <c r="P38" s="280">
        <f>SUM('prog-6'!P505)</f>
        <v>0</v>
      </c>
      <c r="Q38" s="280">
        <f>SUM('prog-6'!Q505)</f>
        <v>0</v>
      </c>
      <c r="R38" s="280">
        <f>SUM('prog-6'!R505)</f>
        <v>0</v>
      </c>
      <c r="S38" s="281">
        <f t="shared" si="5"/>
        <v>8300</v>
      </c>
      <c r="T38" s="186">
        <f t="shared" si="22"/>
        <v>8300</v>
      </c>
      <c r="U38" s="186">
        <f t="shared" si="20"/>
        <v>0</v>
      </c>
      <c r="V38" s="300">
        <f t="shared" si="21"/>
        <v>0</v>
      </c>
      <c r="W38" s="150"/>
    </row>
    <row r="39" spans="1:23" ht="25.5" customHeight="1" thickBot="1" x14ac:dyDescent="0.25">
      <c r="A39" s="96" t="s">
        <v>108</v>
      </c>
      <c r="B39" s="101" t="s">
        <v>226</v>
      </c>
      <c r="C39" s="276">
        <f t="shared" si="16"/>
        <v>43700</v>
      </c>
      <c r="D39" s="277">
        <f>SUM(D40:D42)</f>
        <v>43700</v>
      </c>
      <c r="E39" s="415">
        <f>SUM(E40:E42)</f>
        <v>0</v>
      </c>
      <c r="F39" s="293">
        <f>SUM(F40:F42)</f>
        <v>0</v>
      </c>
      <c r="G39" s="276">
        <f t="shared" si="2"/>
        <v>0</v>
      </c>
      <c r="H39" s="277">
        <f>SUM(H40:H42)</f>
        <v>0</v>
      </c>
      <c r="I39" s="415">
        <f>SUM(I40:I42)</f>
        <v>0</v>
      </c>
      <c r="J39" s="293">
        <f>SUM(J40:J42)</f>
        <v>0</v>
      </c>
      <c r="K39" s="276">
        <f t="shared" si="3"/>
        <v>3403.76</v>
      </c>
      <c r="L39" s="277">
        <f>SUM(L40:L42)</f>
        <v>3403.76</v>
      </c>
      <c r="M39" s="277">
        <f>SUM(M40:M42)</f>
        <v>0</v>
      </c>
      <c r="N39" s="293">
        <f>SUM(N40:N42)</f>
        <v>0</v>
      </c>
      <c r="O39" s="276">
        <f t="shared" si="4"/>
        <v>0</v>
      </c>
      <c r="P39" s="277">
        <f>SUM(P40:P42)</f>
        <v>0</v>
      </c>
      <c r="Q39" s="293"/>
      <c r="R39" s="293">
        <f>SUM(R40:R42)</f>
        <v>0</v>
      </c>
      <c r="S39" s="276">
        <f>T39+V39</f>
        <v>47103.76</v>
      </c>
      <c r="T39" s="277">
        <f>D39+H39+L39+P39</f>
        <v>47103.76</v>
      </c>
      <c r="U39" s="277">
        <f>E39+I39+M39+Q39</f>
        <v>0</v>
      </c>
      <c r="V39" s="290">
        <f>F39+J39+N39+R39</f>
        <v>0</v>
      </c>
    </row>
    <row r="40" spans="1:23" ht="14.25" customHeight="1" x14ac:dyDescent="0.2">
      <c r="A40" s="84"/>
      <c r="B40" s="102" t="s">
        <v>154</v>
      </c>
      <c r="C40" s="185">
        <f t="shared" si="16"/>
        <v>29100</v>
      </c>
      <c r="D40" s="186">
        <f>SUM('prog-6'!D119)</f>
        <v>29100</v>
      </c>
      <c r="E40" s="419">
        <f>SUM('prog-6'!E119)</f>
        <v>0</v>
      </c>
      <c r="F40" s="186">
        <f>SUM('prog-6'!F119)</f>
        <v>0</v>
      </c>
      <c r="G40" s="185">
        <f t="shared" si="2"/>
        <v>0</v>
      </c>
      <c r="H40" s="186">
        <f>SUM('prog-6'!H119)</f>
        <v>0</v>
      </c>
      <c r="I40" s="419">
        <f>SUM('prog-6'!I119)</f>
        <v>0</v>
      </c>
      <c r="J40" s="186">
        <f>SUM('prog-6'!J119)</f>
        <v>0</v>
      </c>
      <c r="K40" s="185">
        <f t="shared" si="3"/>
        <v>3403.76</v>
      </c>
      <c r="L40" s="186">
        <f>SUM('prog-6'!L119)</f>
        <v>3403.76</v>
      </c>
      <c r="M40" s="186">
        <f>SUM('prog-6'!M119)</f>
        <v>0</v>
      </c>
      <c r="N40" s="186">
        <f>SUM('prog-6'!N119)</f>
        <v>0</v>
      </c>
      <c r="O40" s="185">
        <f t="shared" si="4"/>
        <v>0</v>
      </c>
      <c r="P40" s="186">
        <f>SUM('prog-6'!P119)</f>
        <v>0</v>
      </c>
      <c r="Q40" s="186">
        <f>SUM('prog-6'!Q119)</f>
        <v>0</v>
      </c>
      <c r="R40" s="186">
        <f>SUM('prog-6'!R119)</f>
        <v>0</v>
      </c>
      <c r="S40" s="185">
        <f t="shared" si="5"/>
        <v>32503.760000000002</v>
      </c>
      <c r="T40" s="186">
        <f>SUM(D40,H40,L40,P40,)</f>
        <v>32503.760000000002</v>
      </c>
      <c r="U40" s="186">
        <f t="shared" ref="U40:U42" si="23">SUM(E40,I40,M40,Q40,)</f>
        <v>0</v>
      </c>
      <c r="V40" s="294">
        <f t="shared" ref="V40:V42" si="24">SUM(F40,J40,N40,R40,)</f>
        <v>0</v>
      </c>
    </row>
    <row r="41" spans="1:23" ht="14.25" customHeight="1" x14ac:dyDescent="0.2">
      <c r="A41" s="84"/>
      <c r="B41" s="94" t="s">
        <v>174</v>
      </c>
      <c r="C41" s="291">
        <f t="shared" si="16"/>
        <v>3000</v>
      </c>
      <c r="D41" s="187">
        <f>SUM('prog-6'!D227)</f>
        <v>3000</v>
      </c>
      <c r="E41" s="417">
        <f>SUM('prog-6'!E227)</f>
        <v>0</v>
      </c>
      <c r="F41" s="187">
        <f>SUM('prog-6'!F227)</f>
        <v>0</v>
      </c>
      <c r="G41" s="291">
        <f t="shared" si="2"/>
        <v>0</v>
      </c>
      <c r="H41" s="187">
        <f>SUM('prog-6'!H227)</f>
        <v>0</v>
      </c>
      <c r="I41" s="417">
        <f>SUM('prog-6'!I227)</f>
        <v>0</v>
      </c>
      <c r="J41" s="187">
        <f>SUM('prog-6'!J227)</f>
        <v>0</v>
      </c>
      <c r="K41" s="291">
        <f t="shared" si="3"/>
        <v>0</v>
      </c>
      <c r="L41" s="187">
        <f>SUM('prog-6'!L227)</f>
        <v>0</v>
      </c>
      <c r="M41" s="187">
        <f>SUM('prog-6'!M227)</f>
        <v>0</v>
      </c>
      <c r="N41" s="187">
        <f>SUM('prog-6'!N227)</f>
        <v>0</v>
      </c>
      <c r="O41" s="291">
        <f t="shared" si="4"/>
        <v>0</v>
      </c>
      <c r="P41" s="187">
        <f>SUM('prog-6'!P227)</f>
        <v>0</v>
      </c>
      <c r="Q41" s="187">
        <f>SUM('prog-6'!Q227)</f>
        <v>0</v>
      </c>
      <c r="R41" s="187">
        <f>SUM('prog-6'!R227)</f>
        <v>0</v>
      </c>
      <c r="S41" s="291">
        <f t="shared" si="5"/>
        <v>3000</v>
      </c>
      <c r="T41" s="186">
        <f t="shared" ref="T41:T42" si="25">SUM(D41,H41,L41,P41,)</f>
        <v>3000</v>
      </c>
      <c r="U41" s="186">
        <f t="shared" si="23"/>
        <v>0</v>
      </c>
      <c r="V41" s="230">
        <f t="shared" si="24"/>
        <v>0</v>
      </c>
    </row>
    <row r="42" spans="1:23" ht="14.25" customHeight="1" thickBot="1" x14ac:dyDescent="0.25">
      <c r="A42" s="98"/>
      <c r="B42" s="104" t="s">
        <v>329</v>
      </c>
      <c r="C42" s="281">
        <f t="shared" si="16"/>
        <v>11600</v>
      </c>
      <c r="D42" s="280">
        <f>SUM('prog-6'!D509)</f>
        <v>11600</v>
      </c>
      <c r="E42" s="418">
        <f>SUM('prog-6'!E509)</f>
        <v>0</v>
      </c>
      <c r="F42" s="280">
        <f>SUM('prog-6'!F509)</f>
        <v>0</v>
      </c>
      <c r="G42" s="281">
        <f t="shared" si="2"/>
        <v>0</v>
      </c>
      <c r="H42" s="280">
        <f>SUM('prog-6'!H509)</f>
        <v>0</v>
      </c>
      <c r="I42" s="418">
        <f>SUM('prog-6'!I509)</f>
        <v>0</v>
      </c>
      <c r="J42" s="280">
        <f>SUM('prog-6'!J509)</f>
        <v>0</v>
      </c>
      <c r="K42" s="281">
        <f t="shared" si="3"/>
        <v>0</v>
      </c>
      <c r="L42" s="280">
        <f>SUM('prog-6'!L509)</f>
        <v>0</v>
      </c>
      <c r="M42" s="280">
        <f>SUM('prog-6'!M509)</f>
        <v>0</v>
      </c>
      <c r="N42" s="280">
        <f>SUM('prog-6'!N509)</f>
        <v>0</v>
      </c>
      <c r="O42" s="281">
        <f t="shared" si="4"/>
        <v>0</v>
      </c>
      <c r="P42" s="280">
        <f>SUM('prog-6'!P509)</f>
        <v>0</v>
      </c>
      <c r="Q42" s="280">
        <f>SUM('prog-6'!Q509)</f>
        <v>0</v>
      </c>
      <c r="R42" s="280">
        <f>SUM('prog-6'!R509)</f>
        <v>0</v>
      </c>
      <c r="S42" s="281">
        <f t="shared" si="5"/>
        <v>11600</v>
      </c>
      <c r="T42" s="186">
        <f t="shared" si="25"/>
        <v>11600</v>
      </c>
      <c r="U42" s="186">
        <f t="shared" si="23"/>
        <v>0</v>
      </c>
      <c r="V42" s="300">
        <f t="shared" si="24"/>
        <v>0</v>
      </c>
      <c r="W42" s="150"/>
    </row>
    <row r="43" spans="1:23" ht="24.75" customHeight="1" thickBot="1" x14ac:dyDescent="0.25">
      <c r="A43" s="100" t="s">
        <v>227</v>
      </c>
      <c r="B43" s="101" t="s">
        <v>228</v>
      </c>
      <c r="C43" s="276">
        <f t="shared" si="16"/>
        <v>44100</v>
      </c>
      <c r="D43" s="277">
        <f>SUM(D44:D46)</f>
        <v>44100</v>
      </c>
      <c r="E43" s="415">
        <f>SUM(E44:E46)</f>
        <v>0</v>
      </c>
      <c r="F43" s="293">
        <f>SUM(F44:F46)</f>
        <v>0</v>
      </c>
      <c r="G43" s="276">
        <f t="shared" si="2"/>
        <v>0</v>
      </c>
      <c r="H43" s="277">
        <f>SUM(H44:H46)</f>
        <v>0</v>
      </c>
      <c r="I43" s="415">
        <f>SUM(I44:I46)</f>
        <v>0</v>
      </c>
      <c r="J43" s="293">
        <f>SUM(J44:J46)</f>
        <v>0</v>
      </c>
      <c r="K43" s="276">
        <f t="shared" si="3"/>
        <v>4650.1399999999994</v>
      </c>
      <c r="L43" s="277">
        <f>SUM(L44:L46)</f>
        <v>4650.1399999999994</v>
      </c>
      <c r="M43" s="277">
        <f>SUM(M44:M46)</f>
        <v>0</v>
      </c>
      <c r="N43" s="293">
        <f>SUM(N44:N46)</f>
        <v>0</v>
      </c>
      <c r="O43" s="276">
        <f t="shared" si="4"/>
        <v>0</v>
      </c>
      <c r="P43" s="277">
        <f>SUM(P44:P46)</f>
        <v>0</v>
      </c>
      <c r="Q43" s="293"/>
      <c r="R43" s="293">
        <f>SUM(R44:R46)</f>
        <v>0</v>
      </c>
      <c r="S43" s="276">
        <f>T43+V43</f>
        <v>48750.14</v>
      </c>
      <c r="T43" s="277">
        <f>D43+H43+L43+P43</f>
        <v>48750.14</v>
      </c>
      <c r="U43" s="277">
        <f>E43+I43+M43+Q43</f>
        <v>0</v>
      </c>
      <c r="V43" s="290">
        <f>F43+J43+N43+R43</f>
        <v>0</v>
      </c>
    </row>
    <row r="44" spans="1:23" ht="13.5" customHeight="1" x14ac:dyDescent="0.2">
      <c r="A44" s="83"/>
      <c r="B44" s="102" t="s">
        <v>154</v>
      </c>
      <c r="C44" s="185">
        <f t="shared" si="16"/>
        <v>30900</v>
      </c>
      <c r="D44" s="186">
        <f>SUM('prog-6'!D127)</f>
        <v>30900</v>
      </c>
      <c r="E44" s="419">
        <f>SUM('prog-6'!E127)</f>
        <v>0</v>
      </c>
      <c r="F44" s="186">
        <f>SUM('prog-6'!F127)</f>
        <v>0</v>
      </c>
      <c r="G44" s="185">
        <f t="shared" si="2"/>
        <v>0</v>
      </c>
      <c r="H44" s="186">
        <f>SUM('prog-6'!H127)</f>
        <v>0</v>
      </c>
      <c r="I44" s="419">
        <f>SUM('prog-6'!I127)</f>
        <v>0</v>
      </c>
      <c r="J44" s="186">
        <f>SUM('prog-6'!J127)</f>
        <v>0</v>
      </c>
      <c r="K44" s="185">
        <f t="shared" si="3"/>
        <v>4650.1399999999994</v>
      </c>
      <c r="L44" s="186">
        <f>SUM('prog-6'!L127)</f>
        <v>4650.1399999999994</v>
      </c>
      <c r="M44" s="186">
        <f>SUM('prog-6'!M127)</f>
        <v>0</v>
      </c>
      <c r="N44" s="186">
        <f>SUM('prog-6'!N127)</f>
        <v>0</v>
      </c>
      <c r="O44" s="185">
        <f t="shared" si="4"/>
        <v>0</v>
      </c>
      <c r="P44" s="186">
        <f>SUM('prog-6'!P127)</f>
        <v>0</v>
      </c>
      <c r="Q44" s="186">
        <f>SUM('prog-6'!Q127)</f>
        <v>0</v>
      </c>
      <c r="R44" s="186">
        <f>SUM('prog-6'!R127)</f>
        <v>0</v>
      </c>
      <c r="S44" s="185">
        <f t="shared" si="5"/>
        <v>35550.14</v>
      </c>
      <c r="T44" s="186">
        <f>SUM(D44,H44,L44,P44,)</f>
        <v>35550.14</v>
      </c>
      <c r="U44" s="186">
        <f t="shared" ref="U44:U46" si="26">SUM(E44,I44,M44,Q44,)</f>
        <v>0</v>
      </c>
      <c r="V44" s="300">
        <f t="shared" ref="V44:V46" si="27">SUM(F44,J44,N44,R44,)</f>
        <v>0</v>
      </c>
      <c r="W44" s="150"/>
    </row>
    <row r="45" spans="1:23" ht="13.5" customHeight="1" x14ac:dyDescent="0.2">
      <c r="A45" s="83"/>
      <c r="B45" s="94" t="s">
        <v>174</v>
      </c>
      <c r="C45" s="291">
        <f t="shared" si="16"/>
        <v>500</v>
      </c>
      <c r="D45" s="187">
        <f>SUM('prog-6'!D228)</f>
        <v>500</v>
      </c>
      <c r="E45" s="417">
        <f>SUM('prog-6'!E228)</f>
        <v>0</v>
      </c>
      <c r="F45" s="187">
        <f>SUM('prog-6'!F228)</f>
        <v>0</v>
      </c>
      <c r="G45" s="291">
        <f t="shared" si="2"/>
        <v>0</v>
      </c>
      <c r="H45" s="187">
        <f>SUM('prog-6'!H228)</f>
        <v>0</v>
      </c>
      <c r="I45" s="417">
        <f>SUM('prog-6'!I228)</f>
        <v>0</v>
      </c>
      <c r="J45" s="187">
        <f>SUM('prog-6'!J228)</f>
        <v>0</v>
      </c>
      <c r="K45" s="291">
        <f t="shared" si="3"/>
        <v>0</v>
      </c>
      <c r="L45" s="187">
        <f>SUM('prog-6'!L228)</f>
        <v>0</v>
      </c>
      <c r="M45" s="187">
        <f>SUM('prog-6'!M228)</f>
        <v>0</v>
      </c>
      <c r="N45" s="187">
        <f>SUM('prog-6'!N228)</f>
        <v>0</v>
      </c>
      <c r="O45" s="291">
        <f t="shared" si="4"/>
        <v>0</v>
      </c>
      <c r="P45" s="187">
        <f>SUM('prog-6'!P228)</f>
        <v>0</v>
      </c>
      <c r="Q45" s="187">
        <f>SUM('prog-6'!Q228)</f>
        <v>0</v>
      </c>
      <c r="R45" s="187">
        <f>SUM('prog-6'!R228)</f>
        <v>0</v>
      </c>
      <c r="S45" s="291">
        <f t="shared" si="5"/>
        <v>500</v>
      </c>
      <c r="T45" s="186">
        <f t="shared" ref="T45:T46" si="28">SUM(D45,H45,L45,P45,)</f>
        <v>500</v>
      </c>
      <c r="U45" s="186">
        <f t="shared" si="26"/>
        <v>0</v>
      </c>
      <c r="V45" s="300">
        <f t="shared" si="27"/>
        <v>0</v>
      </c>
      <c r="W45" s="150"/>
    </row>
    <row r="46" spans="1:23" ht="13.5" customHeight="1" thickBot="1" x14ac:dyDescent="0.25">
      <c r="A46" s="103"/>
      <c r="B46" s="104" t="s">
        <v>329</v>
      </c>
      <c r="C46" s="281">
        <f t="shared" si="16"/>
        <v>12700</v>
      </c>
      <c r="D46" s="280">
        <f>SUM('prog-6'!D513)</f>
        <v>12700</v>
      </c>
      <c r="E46" s="418">
        <f>SUM('prog-6'!E513)</f>
        <v>0</v>
      </c>
      <c r="F46" s="280">
        <f>SUM('prog-6'!F513)</f>
        <v>0</v>
      </c>
      <c r="G46" s="281">
        <f t="shared" si="2"/>
        <v>0</v>
      </c>
      <c r="H46" s="280">
        <f>SUM('prog-6'!H513)</f>
        <v>0</v>
      </c>
      <c r="I46" s="418">
        <f>SUM('prog-6'!I513)</f>
        <v>0</v>
      </c>
      <c r="J46" s="280">
        <f>SUM('prog-6'!J513)</f>
        <v>0</v>
      </c>
      <c r="K46" s="281">
        <f t="shared" si="3"/>
        <v>0</v>
      </c>
      <c r="L46" s="280">
        <f>SUM('prog-6'!L513)</f>
        <v>0</v>
      </c>
      <c r="M46" s="280">
        <f>SUM('prog-6'!M513)</f>
        <v>0</v>
      </c>
      <c r="N46" s="280">
        <f>SUM('prog-6'!N513)</f>
        <v>0</v>
      </c>
      <c r="O46" s="281">
        <f t="shared" si="4"/>
        <v>0</v>
      </c>
      <c r="P46" s="280">
        <f>SUM('prog-6'!P513)</f>
        <v>0</v>
      </c>
      <c r="Q46" s="280">
        <f>SUM('prog-6'!Q513)</f>
        <v>0</v>
      </c>
      <c r="R46" s="280">
        <f>SUM('prog-6'!R513)</f>
        <v>0</v>
      </c>
      <c r="S46" s="281">
        <f t="shared" si="5"/>
        <v>12700</v>
      </c>
      <c r="T46" s="186">
        <f t="shared" si="28"/>
        <v>12700</v>
      </c>
      <c r="U46" s="186">
        <f t="shared" si="26"/>
        <v>0</v>
      </c>
      <c r="V46" s="300">
        <f t="shared" si="27"/>
        <v>0</v>
      </c>
      <c r="W46" s="150"/>
    </row>
    <row r="47" spans="1:23" ht="25.5" customHeight="1" thickBot="1" x14ac:dyDescent="0.25">
      <c r="A47" s="96" t="s">
        <v>229</v>
      </c>
      <c r="B47" s="101" t="s">
        <v>230</v>
      </c>
      <c r="C47" s="276">
        <f t="shared" si="16"/>
        <v>71900</v>
      </c>
      <c r="D47" s="277">
        <f>SUM(D48:D50)</f>
        <v>48500</v>
      </c>
      <c r="E47" s="415">
        <f>SUM(E48:E50)</f>
        <v>0</v>
      </c>
      <c r="F47" s="293">
        <f>SUM(F48:F50)</f>
        <v>23400</v>
      </c>
      <c r="G47" s="276">
        <f t="shared" si="2"/>
        <v>0</v>
      </c>
      <c r="H47" s="277">
        <f>SUM(H48:H50)</f>
        <v>0</v>
      </c>
      <c r="I47" s="415">
        <f>SUM(I48:I50)</f>
        <v>0</v>
      </c>
      <c r="J47" s="293">
        <f>SUM(J48:J50)</f>
        <v>0</v>
      </c>
      <c r="K47" s="276">
        <f t="shared" si="3"/>
        <v>6636.25</v>
      </c>
      <c r="L47" s="277">
        <f>SUM(L48:L50)</f>
        <v>6636.25</v>
      </c>
      <c r="M47" s="277">
        <f>SUM(M48:M50)</f>
        <v>0</v>
      </c>
      <c r="N47" s="293">
        <f>SUM(N48:N50)</f>
        <v>0</v>
      </c>
      <c r="O47" s="276">
        <f t="shared" si="4"/>
        <v>0</v>
      </c>
      <c r="P47" s="277">
        <f>SUM(P48:P50)</f>
        <v>0</v>
      </c>
      <c r="Q47" s="293"/>
      <c r="R47" s="293">
        <f>SUM(R48:R50)</f>
        <v>0</v>
      </c>
      <c r="S47" s="276">
        <f>T47+V47</f>
        <v>78536.25</v>
      </c>
      <c r="T47" s="277">
        <f>D47+H47+L47+P47</f>
        <v>55136.25</v>
      </c>
      <c r="U47" s="277">
        <f>E47+I47+M47+Q47</f>
        <v>0</v>
      </c>
      <c r="V47" s="290">
        <f>F47+J47+N47+R47</f>
        <v>23400</v>
      </c>
    </row>
    <row r="48" spans="1:23" ht="13.5" customHeight="1" x14ac:dyDescent="0.2">
      <c r="A48" s="84"/>
      <c r="B48" s="102" t="s">
        <v>154</v>
      </c>
      <c r="C48" s="185">
        <f t="shared" si="16"/>
        <v>35800</v>
      </c>
      <c r="D48" s="186">
        <f>SUM('prog-6'!D136)</f>
        <v>35800</v>
      </c>
      <c r="E48" s="419">
        <f>SUM('prog-6'!E136)</f>
        <v>0</v>
      </c>
      <c r="F48" s="186">
        <f>SUM('prog-6'!F136)</f>
        <v>0</v>
      </c>
      <c r="G48" s="185">
        <f t="shared" si="2"/>
        <v>0</v>
      </c>
      <c r="H48" s="186">
        <f>SUM('prog-6'!H136)</f>
        <v>0</v>
      </c>
      <c r="I48" s="419">
        <f>SUM('prog-6'!I136)</f>
        <v>0</v>
      </c>
      <c r="J48" s="186">
        <f>SUM('prog-6'!J136)</f>
        <v>0</v>
      </c>
      <c r="K48" s="185">
        <f t="shared" si="3"/>
        <v>6636.25</v>
      </c>
      <c r="L48" s="186">
        <f>SUM('prog-6'!L136)</f>
        <v>6636.25</v>
      </c>
      <c r="M48" s="186">
        <f>SUM('prog-6'!M136)</f>
        <v>0</v>
      </c>
      <c r="N48" s="186">
        <f>SUM('prog-6'!N136)</f>
        <v>0</v>
      </c>
      <c r="O48" s="185">
        <f t="shared" si="4"/>
        <v>0</v>
      </c>
      <c r="P48" s="186">
        <f>SUM('prog-6'!P136)</f>
        <v>0</v>
      </c>
      <c r="Q48" s="186">
        <f>SUM('prog-6'!Q136)</f>
        <v>0</v>
      </c>
      <c r="R48" s="186">
        <f>SUM('prog-6'!R136)</f>
        <v>0</v>
      </c>
      <c r="S48" s="185">
        <f t="shared" si="5"/>
        <v>42436.25</v>
      </c>
      <c r="T48" s="186">
        <f>SUM(D48,H48,L48,P48,)</f>
        <v>42436.25</v>
      </c>
      <c r="U48" s="186">
        <f t="shared" ref="U48:U50" si="29">SUM(E48,I48,M48,Q48,)</f>
        <v>0</v>
      </c>
      <c r="V48" s="300">
        <f t="shared" ref="V48:V50" si="30">SUM(F48,J48,N48,R48,)</f>
        <v>0</v>
      </c>
      <c r="W48" s="150"/>
    </row>
    <row r="49" spans="1:23" ht="13.5" customHeight="1" x14ac:dyDescent="0.2">
      <c r="A49" s="84"/>
      <c r="B49" s="94" t="s">
        <v>174</v>
      </c>
      <c r="C49" s="291">
        <f t="shared" si="16"/>
        <v>500</v>
      </c>
      <c r="D49" s="187">
        <f>SUM('prog-6'!D229)</f>
        <v>500</v>
      </c>
      <c r="E49" s="417">
        <f>SUM('prog-6'!E229)</f>
        <v>0</v>
      </c>
      <c r="F49" s="187">
        <f>SUM('prog-6'!F229)</f>
        <v>0</v>
      </c>
      <c r="G49" s="291">
        <f t="shared" si="2"/>
        <v>0</v>
      </c>
      <c r="H49" s="187">
        <f>SUM('prog-6'!H229)</f>
        <v>0</v>
      </c>
      <c r="I49" s="417">
        <f>SUM('prog-6'!I229)</f>
        <v>0</v>
      </c>
      <c r="J49" s="187">
        <f>SUM('prog-6'!J229)</f>
        <v>0</v>
      </c>
      <c r="K49" s="291">
        <f t="shared" si="3"/>
        <v>0</v>
      </c>
      <c r="L49" s="187">
        <f>SUM('prog-6'!L229)</f>
        <v>0</v>
      </c>
      <c r="M49" s="187">
        <f>SUM('prog-6'!M229)</f>
        <v>0</v>
      </c>
      <c r="N49" s="187">
        <f>SUM('prog-6'!N229)</f>
        <v>0</v>
      </c>
      <c r="O49" s="291">
        <f t="shared" si="4"/>
        <v>0</v>
      </c>
      <c r="P49" s="187">
        <f>SUM('prog-6'!P229)</f>
        <v>0</v>
      </c>
      <c r="Q49" s="187">
        <f>SUM('prog-6'!Q229)</f>
        <v>0</v>
      </c>
      <c r="R49" s="187">
        <f>SUM('prog-6'!R229)</f>
        <v>0</v>
      </c>
      <c r="S49" s="291">
        <f t="shared" si="5"/>
        <v>500</v>
      </c>
      <c r="T49" s="186">
        <f t="shared" ref="T49:T50" si="31">SUM(D49,H49,L49,P49,)</f>
        <v>500</v>
      </c>
      <c r="U49" s="186">
        <f t="shared" si="29"/>
        <v>0</v>
      </c>
      <c r="V49" s="230">
        <f t="shared" si="30"/>
        <v>0</v>
      </c>
    </row>
    <row r="50" spans="1:23" ht="13.5" customHeight="1" thickBot="1" x14ac:dyDescent="0.25">
      <c r="A50" s="98"/>
      <c r="B50" s="104" t="s">
        <v>329</v>
      </c>
      <c r="C50" s="281">
        <f t="shared" si="16"/>
        <v>35600</v>
      </c>
      <c r="D50" s="280">
        <f>SUM('prog-6'!D517)</f>
        <v>12200</v>
      </c>
      <c r="E50" s="418">
        <f>SUM('prog-6'!E517)</f>
        <v>0</v>
      </c>
      <c r="F50" s="280">
        <f>SUM('prog-6'!F517)</f>
        <v>23400</v>
      </c>
      <c r="G50" s="281">
        <f t="shared" si="2"/>
        <v>0</v>
      </c>
      <c r="H50" s="280">
        <f>SUM('prog-6'!H517)</f>
        <v>0</v>
      </c>
      <c r="I50" s="418">
        <f>SUM('prog-6'!I517)</f>
        <v>0</v>
      </c>
      <c r="J50" s="280">
        <f>SUM('prog-6'!J517)</f>
        <v>0</v>
      </c>
      <c r="K50" s="281">
        <f t="shared" si="3"/>
        <v>0</v>
      </c>
      <c r="L50" s="280">
        <f>SUM('prog-6'!L517)</f>
        <v>0</v>
      </c>
      <c r="M50" s="280">
        <f>SUM('prog-6'!M517)</f>
        <v>0</v>
      </c>
      <c r="N50" s="280">
        <f>SUM('prog-6'!N517)</f>
        <v>0</v>
      </c>
      <c r="O50" s="281">
        <f t="shared" si="4"/>
        <v>0</v>
      </c>
      <c r="P50" s="280">
        <f>SUM('prog-6'!P517)</f>
        <v>0</v>
      </c>
      <c r="Q50" s="280">
        <f>SUM('prog-6'!Q517)</f>
        <v>0</v>
      </c>
      <c r="R50" s="280">
        <f>SUM('prog-6'!R517)</f>
        <v>0</v>
      </c>
      <c r="S50" s="281">
        <f t="shared" si="5"/>
        <v>35600</v>
      </c>
      <c r="T50" s="186">
        <f t="shared" si="31"/>
        <v>12200</v>
      </c>
      <c r="U50" s="186">
        <f t="shared" si="29"/>
        <v>0</v>
      </c>
      <c r="V50" s="300">
        <f t="shared" si="30"/>
        <v>23400</v>
      </c>
      <c r="W50" s="150"/>
    </row>
    <row r="51" spans="1:23" ht="24.75" customHeight="1" thickBot="1" x14ac:dyDescent="0.25">
      <c r="A51" s="100" t="s">
        <v>231</v>
      </c>
      <c r="B51" s="101" t="s">
        <v>232</v>
      </c>
      <c r="C51" s="276">
        <f t="shared" si="16"/>
        <v>36900</v>
      </c>
      <c r="D51" s="277">
        <f>SUM(D52:D54)</f>
        <v>32900</v>
      </c>
      <c r="E51" s="415">
        <f>SUM(E52:E54)</f>
        <v>0</v>
      </c>
      <c r="F51" s="293">
        <f>SUM(F52:F54)</f>
        <v>4000</v>
      </c>
      <c r="G51" s="276">
        <f t="shared" si="2"/>
        <v>0</v>
      </c>
      <c r="H51" s="277">
        <f>SUM(H52:H54)</f>
        <v>0</v>
      </c>
      <c r="I51" s="415">
        <f>SUM(I52:I54)</f>
        <v>0</v>
      </c>
      <c r="J51" s="293">
        <f>SUM(J52:J54)</f>
        <v>0</v>
      </c>
      <c r="K51" s="276">
        <f t="shared" si="3"/>
        <v>1092.6500000000001</v>
      </c>
      <c r="L51" s="277">
        <f>SUM(L52:L54)</f>
        <v>1092.6500000000001</v>
      </c>
      <c r="M51" s="277">
        <f>SUM(M52:M54)</f>
        <v>0</v>
      </c>
      <c r="N51" s="293">
        <f>SUM(N52:N54)</f>
        <v>0</v>
      </c>
      <c r="O51" s="276">
        <f t="shared" si="4"/>
        <v>0</v>
      </c>
      <c r="P51" s="277">
        <f>SUM(P52:P54)</f>
        <v>0</v>
      </c>
      <c r="Q51" s="293"/>
      <c r="R51" s="293">
        <f>SUM(R52:R54)</f>
        <v>0</v>
      </c>
      <c r="S51" s="276">
        <f>T51+V51</f>
        <v>37992.65</v>
      </c>
      <c r="T51" s="277">
        <f>D51+H51+L51+P51</f>
        <v>33992.65</v>
      </c>
      <c r="U51" s="277">
        <f>E51+I51+M51+Q51</f>
        <v>0</v>
      </c>
      <c r="V51" s="290">
        <f>F51+J51+N51+R51</f>
        <v>4000</v>
      </c>
    </row>
    <row r="52" spans="1:23" ht="13.5" customHeight="1" x14ac:dyDescent="0.2">
      <c r="A52" s="83"/>
      <c r="B52" s="102" t="s">
        <v>154</v>
      </c>
      <c r="C52" s="185">
        <f t="shared" si="16"/>
        <v>28000</v>
      </c>
      <c r="D52" s="186">
        <f>SUM('prog-6'!D145)</f>
        <v>24000</v>
      </c>
      <c r="E52" s="419">
        <f>SUM('prog-6'!E145)</f>
        <v>0</v>
      </c>
      <c r="F52" s="186">
        <f>SUM('prog-6'!F145)</f>
        <v>4000</v>
      </c>
      <c r="G52" s="185">
        <f t="shared" si="2"/>
        <v>0</v>
      </c>
      <c r="H52" s="186">
        <f>SUM('prog-6'!H145)</f>
        <v>0</v>
      </c>
      <c r="I52" s="419">
        <f>SUM('prog-6'!I145)</f>
        <v>0</v>
      </c>
      <c r="J52" s="186">
        <f>SUM('prog-6'!J145)</f>
        <v>0</v>
      </c>
      <c r="K52" s="185">
        <f t="shared" si="3"/>
        <v>1092.6500000000001</v>
      </c>
      <c r="L52" s="186">
        <f>SUM('prog-6'!L145)</f>
        <v>1092.6500000000001</v>
      </c>
      <c r="M52" s="186">
        <f>SUM('prog-6'!M145)</f>
        <v>0</v>
      </c>
      <c r="N52" s="186">
        <f>SUM('prog-6'!N145)</f>
        <v>0</v>
      </c>
      <c r="O52" s="185">
        <f t="shared" si="4"/>
        <v>0</v>
      </c>
      <c r="P52" s="186">
        <f>SUM('prog-6'!P145)</f>
        <v>0</v>
      </c>
      <c r="Q52" s="186">
        <f>SUM('prog-6'!Q145)</f>
        <v>0</v>
      </c>
      <c r="R52" s="186">
        <f>SUM('prog-6'!R145)</f>
        <v>0</v>
      </c>
      <c r="S52" s="185">
        <f t="shared" si="5"/>
        <v>29092.65</v>
      </c>
      <c r="T52" s="186">
        <f>SUM(D52,H52,L52,P52,)</f>
        <v>25092.65</v>
      </c>
      <c r="U52" s="186">
        <f t="shared" ref="U52:U54" si="32">SUM(E52,I52,M52,Q52,)</f>
        <v>0</v>
      </c>
      <c r="V52" s="300">
        <f t="shared" ref="V52:V54" si="33">SUM(F52,J52,N52,R52,)</f>
        <v>4000</v>
      </c>
      <c r="W52" s="150"/>
    </row>
    <row r="53" spans="1:23" ht="13.5" customHeight="1" x14ac:dyDescent="0.2">
      <c r="A53" s="83"/>
      <c r="B53" s="94" t="s">
        <v>174</v>
      </c>
      <c r="C53" s="291">
        <f t="shared" si="16"/>
        <v>500</v>
      </c>
      <c r="D53" s="187">
        <f>SUM('prog-6'!D230)</f>
        <v>500</v>
      </c>
      <c r="E53" s="417">
        <f>SUM('prog-6'!E230)</f>
        <v>0</v>
      </c>
      <c r="F53" s="187">
        <f>SUM('prog-6'!F230)</f>
        <v>0</v>
      </c>
      <c r="G53" s="291">
        <f t="shared" si="2"/>
        <v>0</v>
      </c>
      <c r="H53" s="187">
        <f>SUM('prog-6'!H230)</f>
        <v>0</v>
      </c>
      <c r="I53" s="417">
        <f>SUM('prog-6'!I230)</f>
        <v>0</v>
      </c>
      <c r="J53" s="187">
        <f>SUM('prog-6'!J230)</f>
        <v>0</v>
      </c>
      <c r="K53" s="291">
        <f t="shared" si="3"/>
        <v>0</v>
      </c>
      <c r="L53" s="187">
        <f>SUM('prog-6'!L230)</f>
        <v>0</v>
      </c>
      <c r="M53" s="187">
        <f>SUM('prog-6'!M230)</f>
        <v>0</v>
      </c>
      <c r="N53" s="187">
        <f>SUM('prog-6'!N230)</f>
        <v>0</v>
      </c>
      <c r="O53" s="291">
        <f t="shared" si="4"/>
        <v>0</v>
      </c>
      <c r="P53" s="187">
        <f>SUM('prog-6'!P230)</f>
        <v>0</v>
      </c>
      <c r="Q53" s="187">
        <f>SUM('prog-6'!Q230)</f>
        <v>0</v>
      </c>
      <c r="R53" s="187">
        <f>SUM('prog-6'!R230)</f>
        <v>0</v>
      </c>
      <c r="S53" s="291">
        <f t="shared" si="5"/>
        <v>500</v>
      </c>
      <c r="T53" s="186">
        <f t="shared" ref="T53:T54" si="34">SUM(D53,H53,L53,P53,)</f>
        <v>500</v>
      </c>
      <c r="U53" s="186">
        <f t="shared" si="32"/>
        <v>0</v>
      </c>
      <c r="V53" s="300">
        <f t="shared" si="33"/>
        <v>0</v>
      </c>
      <c r="W53" s="150"/>
    </row>
    <row r="54" spans="1:23" ht="13.5" customHeight="1" thickBot="1" x14ac:dyDescent="0.25">
      <c r="A54" s="103"/>
      <c r="B54" s="104" t="s">
        <v>329</v>
      </c>
      <c r="C54" s="281">
        <f t="shared" si="16"/>
        <v>8400</v>
      </c>
      <c r="D54" s="280">
        <f>SUM('prog-6'!D521)</f>
        <v>8400</v>
      </c>
      <c r="E54" s="418">
        <f>SUM('prog-6'!E521)</f>
        <v>0</v>
      </c>
      <c r="F54" s="280">
        <f>SUM('prog-6'!F521)</f>
        <v>0</v>
      </c>
      <c r="G54" s="281">
        <f t="shared" si="2"/>
        <v>0</v>
      </c>
      <c r="H54" s="280">
        <f>SUM('prog-6'!H521)</f>
        <v>0</v>
      </c>
      <c r="I54" s="418">
        <f>SUM('prog-6'!I521)</f>
        <v>0</v>
      </c>
      <c r="J54" s="280">
        <f>SUM('prog-6'!J521)</f>
        <v>0</v>
      </c>
      <c r="K54" s="281">
        <f t="shared" si="3"/>
        <v>0</v>
      </c>
      <c r="L54" s="280">
        <f>SUM('prog-6'!L521)</f>
        <v>0</v>
      </c>
      <c r="M54" s="280">
        <f>SUM('prog-6'!M521)</f>
        <v>0</v>
      </c>
      <c r="N54" s="280">
        <f>SUM('prog-6'!N521)</f>
        <v>0</v>
      </c>
      <c r="O54" s="281">
        <f t="shared" si="4"/>
        <v>0</v>
      </c>
      <c r="P54" s="280">
        <f>SUM('prog-6'!P521)</f>
        <v>0</v>
      </c>
      <c r="Q54" s="280">
        <f>SUM('prog-6'!Q521)</f>
        <v>0</v>
      </c>
      <c r="R54" s="280">
        <f>SUM('prog-6'!R521)</f>
        <v>0</v>
      </c>
      <c r="S54" s="281">
        <f t="shared" si="5"/>
        <v>8400</v>
      </c>
      <c r="T54" s="186">
        <f t="shared" si="34"/>
        <v>8400</v>
      </c>
      <c r="U54" s="186">
        <f t="shared" si="32"/>
        <v>0</v>
      </c>
      <c r="V54" s="300">
        <f t="shared" si="33"/>
        <v>0</v>
      </c>
      <c r="W54" s="150"/>
    </row>
    <row r="55" spans="1:23" ht="24" customHeight="1" thickBot="1" x14ac:dyDescent="0.25">
      <c r="A55" s="96" t="s">
        <v>233</v>
      </c>
      <c r="B55" s="101" t="s">
        <v>234</v>
      </c>
      <c r="C55" s="276">
        <f t="shared" si="16"/>
        <v>65400</v>
      </c>
      <c r="D55" s="277">
        <f>SUM(D56:D58)</f>
        <v>37400</v>
      </c>
      <c r="E55" s="415">
        <f>SUM(E56:E58)</f>
        <v>0</v>
      </c>
      <c r="F55" s="293">
        <f>SUM(F56:F58)</f>
        <v>28000</v>
      </c>
      <c r="G55" s="276">
        <f t="shared" si="2"/>
        <v>0</v>
      </c>
      <c r="H55" s="277">
        <f>SUM(H56:H58)</f>
        <v>0</v>
      </c>
      <c r="I55" s="415">
        <f>SUM(I56:I58)</f>
        <v>0</v>
      </c>
      <c r="J55" s="293">
        <f>SUM(J56:J58)</f>
        <v>0</v>
      </c>
      <c r="K55" s="276">
        <f t="shared" si="3"/>
        <v>848.53</v>
      </c>
      <c r="L55" s="277">
        <f>SUM(L56:L58)</f>
        <v>848.53</v>
      </c>
      <c r="M55" s="277">
        <f>SUM(M56:M58)</f>
        <v>0</v>
      </c>
      <c r="N55" s="293">
        <f>SUM(N56:N58)</f>
        <v>0</v>
      </c>
      <c r="O55" s="276">
        <f t="shared" si="4"/>
        <v>0</v>
      </c>
      <c r="P55" s="277">
        <f>SUM(P56:P58)</f>
        <v>0</v>
      </c>
      <c r="Q55" s="293"/>
      <c r="R55" s="293">
        <f>SUM(R56:R58)</f>
        <v>0</v>
      </c>
      <c r="S55" s="276">
        <f>T55+V55</f>
        <v>66248.53</v>
      </c>
      <c r="T55" s="277">
        <f>D55+H55+L55+P55</f>
        <v>38248.53</v>
      </c>
      <c r="U55" s="277">
        <f>E55+I55+M55+Q55</f>
        <v>0</v>
      </c>
      <c r="V55" s="290">
        <f>F55+J55+N55+R55</f>
        <v>28000</v>
      </c>
    </row>
    <row r="56" spans="1:23" ht="13.5" customHeight="1" x14ac:dyDescent="0.2">
      <c r="A56" s="84"/>
      <c r="B56" s="102" t="s">
        <v>154</v>
      </c>
      <c r="C56" s="185">
        <f t="shared" si="16"/>
        <v>31900</v>
      </c>
      <c r="D56" s="186">
        <f>SUM('prog-6'!D151)</f>
        <v>25900</v>
      </c>
      <c r="E56" s="419">
        <f>SUM('prog-6'!E151)</f>
        <v>0</v>
      </c>
      <c r="F56" s="186">
        <f>SUM('prog-6'!F151)</f>
        <v>6000</v>
      </c>
      <c r="G56" s="185">
        <f t="shared" si="2"/>
        <v>0</v>
      </c>
      <c r="H56" s="186">
        <f>SUM('prog-6'!H151)</f>
        <v>0</v>
      </c>
      <c r="I56" s="419">
        <f>SUM('prog-6'!I151)</f>
        <v>0</v>
      </c>
      <c r="J56" s="186">
        <f>SUM('prog-6'!J151)</f>
        <v>0</v>
      </c>
      <c r="K56" s="185">
        <f t="shared" si="3"/>
        <v>848.53</v>
      </c>
      <c r="L56" s="186">
        <f>SUM('prog-6'!L151)</f>
        <v>848.53</v>
      </c>
      <c r="M56" s="186">
        <f>SUM('prog-6'!M151)</f>
        <v>0</v>
      </c>
      <c r="N56" s="186">
        <f>SUM('prog-6'!N151)</f>
        <v>0</v>
      </c>
      <c r="O56" s="185">
        <f t="shared" si="4"/>
        <v>0</v>
      </c>
      <c r="P56" s="186">
        <f>SUM('prog-6'!P151)</f>
        <v>0</v>
      </c>
      <c r="Q56" s="186">
        <f>SUM('prog-6'!Q151)</f>
        <v>0</v>
      </c>
      <c r="R56" s="186">
        <f>SUM('prog-6'!R151)</f>
        <v>0</v>
      </c>
      <c r="S56" s="185">
        <f t="shared" si="5"/>
        <v>32748.53</v>
      </c>
      <c r="T56" s="186">
        <f>SUM(D56,H56,L56,P56,)</f>
        <v>26748.53</v>
      </c>
      <c r="U56" s="186">
        <f t="shared" ref="U56:U58" si="35">SUM(E56,I56,M56,Q56,)</f>
        <v>0</v>
      </c>
      <c r="V56" s="300">
        <f t="shared" ref="V56:V58" si="36">SUM(F56,J56,N56,R56,)</f>
        <v>6000</v>
      </c>
      <c r="W56" s="150"/>
    </row>
    <row r="57" spans="1:23" ht="13.5" customHeight="1" x14ac:dyDescent="0.2">
      <c r="A57" s="84"/>
      <c r="B57" s="94" t="s">
        <v>174</v>
      </c>
      <c r="C57" s="291">
        <f t="shared" si="16"/>
        <v>900</v>
      </c>
      <c r="D57" s="187">
        <f>SUM('prog-6'!D231)</f>
        <v>900</v>
      </c>
      <c r="E57" s="417">
        <f>SUM('prog-6'!E231)</f>
        <v>0</v>
      </c>
      <c r="F57" s="187">
        <f>SUM('prog-6'!F231)</f>
        <v>0</v>
      </c>
      <c r="G57" s="291">
        <f t="shared" si="2"/>
        <v>0</v>
      </c>
      <c r="H57" s="187">
        <f>SUM('prog-6'!H231)</f>
        <v>0</v>
      </c>
      <c r="I57" s="417">
        <f>SUM('prog-6'!I231)</f>
        <v>0</v>
      </c>
      <c r="J57" s="187">
        <f>SUM('prog-6'!J231)</f>
        <v>0</v>
      </c>
      <c r="K57" s="291">
        <f t="shared" si="3"/>
        <v>0</v>
      </c>
      <c r="L57" s="187">
        <f>SUM('prog-6'!L231)</f>
        <v>0</v>
      </c>
      <c r="M57" s="187">
        <f>SUM('prog-6'!M231)</f>
        <v>0</v>
      </c>
      <c r="N57" s="187">
        <f>SUM('prog-6'!N231)</f>
        <v>0</v>
      </c>
      <c r="O57" s="291">
        <f t="shared" si="4"/>
        <v>0</v>
      </c>
      <c r="P57" s="187">
        <f>SUM('prog-6'!P231)</f>
        <v>0</v>
      </c>
      <c r="Q57" s="187">
        <f>SUM('prog-6'!Q231)</f>
        <v>0</v>
      </c>
      <c r="R57" s="187">
        <f>SUM('prog-6'!R231)</f>
        <v>0</v>
      </c>
      <c r="S57" s="291">
        <f t="shared" si="5"/>
        <v>900</v>
      </c>
      <c r="T57" s="186">
        <f t="shared" ref="T57:T58" si="37">SUM(D57,H57,L57,P57,)</f>
        <v>900</v>
      </c>
      <c r="U57" s="186">
        <f t="shared" si="35"/>
        <v>0</v>
      </c>
      <c r="V57" s="300">
        <f t="shared" si="36"/>
        <v>0</v>
      </c>
      <c r="W57" s="150"/>
    </row>
    <row r="58" spans="1:23" ht="13.5" customHeight="1" thickBot="1" x14ac:dyDescent="0.25">
      <c r="A58" s="98"/>
      <c r="B58" s="104" t="s">
        <v>329</v>
      </c>
      <c r="C58" s="281">
        <f t="shared" si="16"/>
        <v>32600</v>
      </c>
      <c r="D58" s="280">
        <f>SUM('prog-6'!D525)</f>
        <v>10600</v>
      </c>
      <c r="E58" s="418">
        <f>SUM('prog-6'!E525)</f>
        <v>0</v>
      </c>
      <c r="F58" s="280">
        <f>SUM('prog-6'!F525)</f>
        <v>22000</v>
      </c>
      <c r="G58" s="281">
        <f t="shared" si="2"/>
        <v>0</v>
      </c>
      <c r="H58" s="280">
        <f>SUM('prog-6'!H525)</f>
        <v>0</v>
      </c>
      <c r="I58" s="418">
        <f>SUM('prog-6'!I525)</f>
        <v>0</v>
      </c>
      <c r="J58" s="280">
        <f>SUM('prog-6'!J525)</f>
        <v>0</v>
      </c>
      <c r="K58" s="281">
        <f t="shared" si="3"/>
        <v>0</v>
      </c>
      <c r="L58" s="280">
        <f>SUM('prog-6'!L525)</f>
        <v>0</v>
      </c>
      <c r="M58" s="280">
        <f>SUM('prog-6'!M525)</f>
        <v>0</v>
      </c>
      <c r="N58" s="280">
        <f>SUM('prog-6'!N525)</f>
        <v>0</v>
      </c>
      <c r="O58" s="281">
        <f t="shared" si="4"/>
        <v>0</v>
      </c>
      <c r="P58" s="280">
        <f>SUM('prog-6'!P525)</f>
        <v>0</v>
      </c>
      <c r="Q58" s="280">
        <f>SUM('prog-6'!Q525)</f>
        <v>0</v>
      </c>
      <c r="R58" s="280">
        <f>SUM('prog-6'!R525)</f>
        <v>0</v>
      </c>
      <c r="S58" s="281">
        <f t="shared" si="5"/>
        <v>32600</v>
      </c>
      <c r="T58" s="186">
        <f t="shared" si="37"/>
        <v>10600</v>
      </c>
      <c r="U58" s="186">
        <f t="shared" si="35"/>
        <v>0</v>
      </c>
      <c r="V58" s="296">
        <f t="shared" si="36"/>
        <v>22000</v>
      </c>
    </row>
    <row r="59" spans="1:23" ht="25.5" customHeight="1" thickBot="1" x14ac:dyDescent="0.25">
      <c r="A59" s="100" t="s">
        <v>235</v>
      </c>
      <c r="B59" s="105" t="s">
        <v>236</v>
      </c>
      <c r="C59" s="276">
        <f t="shared" si="16"/>
        <v>31700</v>
      </c>
      <c r="D59" s="277">
        <f>SUM(D60:D62)</f>
        <v>29100</v>
      </c>
      <c r="E59" s="415">
        <f>SUM(E60:E62)</f>
        <v>0</v>
      </c>
      <c r="F59" s="293">
        <f>SUM(F60:F62)</f>
        <v>2600</v>
      </c>
      <c r="G59" s="276">
        <f t="shared" si="2"/>
        <v>0</v>
      </c>
      <c r="H59" s="303">
        <f>SUM(H60:H62)</f>
        <v>0</v>
      </c>
      <c r="I59" s="427">
        <f>SUM(I60:I62)</f>
        <v>0</v>
      </c>
      <c r="J59" s="304">
        <f>SUM(J60:J62)</f>
        <v>0</v>
      </c>
      <c r="K59" s="276">
        <f t="shared" si="3"/>
        <v>975.14</v>
      </c>
      <c r="L59" s="303">
        <f>SUM(L60:L62)</f>
        <v>975.14</v>
      </c>
      <c r="M59" s="303">
        <f>SUM(M60:M62)</f>
        <v>0</v>
      </c>
      <c r="N59" s="304">
        <f>SUM(N60:N62)</f>
        <v>0</v>
      </c>
      <c r="O59" s="276">
        <f t="shared" si="4"/>
        <v>0</v>
      </c>
      <c r="P59" s="303">
        <f>SUM(P60:P62)</f>
        <v>0</v>
      </c>
      <c r="Q59" s="304"/>
      <c r="R59" s="304">
        <f>SUM(R60:R62)</f>
        <v>0</v>
      </c>
      <c r="S59" s="276">
        <f>T59+V59</f>
        <v>32675.14</v>
      </c>
      <c r="T59" s="277">
        <f>D59+H59+L59+P59</f>
        <v>30075.14</v>
      </c>
      <c r="U59" s="277">
        <f>E59+I59+M59+Q59</f>
        <v>0</v>
      </c>
      <c r="V59" s="290">
        <f>F59+J59+N59+R59</f>
        <v>2600</v>
      </c>
    </row>
    <row r="60" spans="1:23" ht="13.5" customHeight="1" x14ac:dyDescent="0.2">
      <c r="A60" s="83"/>
      <c r="B60" s="102" t="s">
        <v>154</v>
      </c>
      <c r="C60" s="185">
        <f t="shared" si="16"/>
        <v>18900</v>
      </c>
      <c r="D60" s="186">
        <f>SUM('prog-6'!D159)</f>
        <v>18800</v>
      </c>
      <c r="E60" s="419">
        <f>SUM('prog-6'!E159)</f>
        <v>0</v>
      </c>
      <c r="F60" s="186">
        <f>SUM('prog-6'!F159)</f>
        <v>100</v>
      </c>
      <c r="G60" s="185">
        <f t="shared" si="2"/>
        <v>0</v>
      </c>
      <c r="H60" s="186">
        <f>SUM('prog-6'!H159)</f>
        <v>0</v>
      </c>
      <c r="I60" s="419">
        <f>SUM('prog-6'!I159)</f>
        <v>0</v>
      </c>
      <c r="J60" s="186">
        <f>SUM('prog-6'!J159)</f>
        <v>0</v>
      </c>
      <c r="K60" s="185">
        <f t="shared" si="3"/>
        <v>975.14</v>
      </c>
      <c r="L60" s="186">
        <f>SUM('prog-6'!L159)</f>
        <v>975.14</v>
      </c>
      <c r="M60" s="186">
        <f>SUM('prog-6'!M159)</f>
        <v>0</v>
      </c>
      <c r="N60" s="186">
        <f>SUM('prog-6'!N159)</f>
        <v>0</v>
      </c>
      <c r="O60" s="185">
        <f t="shared" si="4"/>
        <v>0</v>
      </c>
      <c r="P60" s="186">
        <f>SUM('prog-6'!P159)</f>
        <v>0</v>
      </c>
      <c r="Q60" s="186">
        <f>SUM('prog-6'!Q159)</f>
        <v>0</v>
      </c>
      <c r="R60" s="186">
        <f>SUM('prog-6'!R159)</f>
        <v>0</v>
      </c>
      <c r="S60" s="185">
        <f t="shared" si="5"/>
        <v>19875.14</v>
      </c>
      <c r="T60" s="186">
        <f>SUM(D60,H60,L60,P60,)</f>
        <v>19775.14</v>
      </c>
      <c r="U60" s="186">
        <f t="shared" ref="U60:U62" si="38">SUM(E60,I60,M60,Q60,)</f>
        <v>0</v>
      </c>
      <c r="V60" s="300">
        <f t="shared" ref="V60:V62" si="39">SUM(F60,J60,N60,R60,)</f>
        <v>100</v>
      </c>
      <c r="W60" s="150"/>
    </row>
    <row r="61" spans="1:23" ht="13.5" customHeight="1" x14ac:dyDescent="0.2">
      <c r="A61" s="83"/>
      <c r="B61" s="94" t="s">
        <v>174</v>
      </c>
      <c r="C61" s="291">
        <f t="shared" si="16"/>
        <v>1000</v>
      </c>
      <c r="D61" s="187">
        <f>SUM('prog-6'!D232)</f>
        <v>1000</v>
      </c>
      <c r="E61" s="417">
        <f>SUM('prog-6'!E232)</f>
        <v>0</v>
      </c>
      <c r="F61" s="187">
        <f>SUM('prog-6'!F232)</f>
        <v>0</v>
      </c>
      <c r="G61" s="291">
        <f t="shared" si="2"/>
        <v>0</v>
      </c>
      <c r="H61" s="187">
        <f>SUM('prog-6'!H232)</f>
        <v>0</v>
      </c>
      <c r="I61" s="417">
        <f>SUM('prog-6'!I232)</f>
        <v>0</v>
      </c>
      <c r="J61" s="187">
        <f>SUM('prog-6'!J232)</f>
        <v>0</v>
      </c>
      <c r="K61" s="291">
        <f t="shared" si="3"/>
        <v>0</v>
      </c>
      <c r="L61" s="187">
        <f>SUM('prog-6'!L232)</f>
        <v>0</v>
      </c>
      <c r="M61" s="187">
        <f>SUM('prog-6'!M232)</f>
        <v>0</v>
      </c>
      <c r="N61" s="187">
        <f>SUM('prog-6'!N232)</f>
        <v>0</v>
      </c>
      <c r="O61" s="291">
        <f t="shared" si="4"/>
        <v>0</v>
      </c>
      <c r="P61" s="187">
        <f>SUM('prog-6'!P232)</f>
        <v>0</v>
      </c>
      <c r="Q61" s="187">
        <f>SUM('prog-6'!Q232)</f>
        <v>0</v>
      </c>
      <c r="R61" s="187">
        <f>SUM('prog-6'!R232)</f>
        <v>0</v>
      </c>
      <c r="S61" s="291">
        <f t="shared" si="5"/>
        <v>1000</v>
      </c>
      <c r="T61" s="186">
        <f t="shared" ref="T61:T62" si="40">SUM(D61,H61,L61,P61,)</f>
        <v>1000</v>
      </c>
      <c r="U61" s="186">
        <f t="shared" si="38"/>
        <v>0</v>
      </c>
      <c r="V61" s="300">
        <f t="shared" si="39"/>
        <v>0</v>
      </c>
      <c r="W61" s="150"/>
    </row>
    <row r="62" spans="1:23" ht="13.5" customHeight="1" thickBot="1" x14ac:dyDescent="0.25">
      <c r="A62" s="103"/>
      <c r="B62" s="104" t="s">
        <v>329</v>
      </c>
      <c r="C62" s="281">
        <f t="shared" si="16"/>
        <v>11800</v>
      </c>
      <c r="D62" s="280">
        <f>SUM('prog-6'!D529)</f>
        <v>9300</v>
      </c>
      <c r="E62" s="418">
        <f>SUM('prog-6'!E529)</f>
        <v>0</v>
      </c>
      <c r="F62" s="280">
        <f>SUM('prog-6'!F529)</f>
        <v>2500</v>
      </c>
      <c r="G62" s="281">
        <f t="shared" si="2"/>
        <v>0</v>
      </c>
      <c r="H62" s="280">
        <f>SUM('prog-6'!H529)</f>
        <v>0</v>
      </c>
      <c r="I62" s="418">
        <f>SUM('prog-6'!I529)</f>
        <v>0</v>
      </c>
      <c r="J62" s="280">
        <f>SUM('prog-6'!J529)</f>
        <v>0</v>
      </c>
      <c r="K62" s="281">
        <f t="shared" si="3"/>
        <v>0</v>
      </c>
      <c r="L62" s="280">
        <f>SUM('prog-6'!L529)</f>
        <v>0</v>
      </c>
      <c r="M62" s="280">
        <f>SUM('prog-6'!M529)</f>
        <v>0</v>
      </c>
      <c r="N62" s="280">
        <f>SUM('prog-6'!N529)</f>
        <v>0</v>
      </c>
      <c r="O62" s="281">
        <f t="shared" si="4"/>
        <v>0</v>
      </c>
      <c r="P62" s="280">
        <f>SUM('prog-6'!P529)</f>
        <v>0</v>
      </c>
      <c r="Q62" s="280">
        <f>SUM('prog-6'!Q529)</f>
        <v>0</v>
      </c>
      <c r="R62" s="280">
        <f>SUM('prog-6'!R529)</f>
        <v>0</v>
      </c>
      <c r="S62" s="281">
        <f t="shared" si="5"/>
        <v>11800</v>
      </c>
      <c r="T62" s="186">
        <f t="shared" si="40"/>
        <v>9300</v>
      </c>
      <c r="U62" s="186">
        <f t="shared" si="38"/>
        <v>0</v>
      </c>
      <c r="V62" s="300">
        <f t="shared" si="39"/>
        <v>2500</v>
      </c>
      <c r="W62" s="150"/>
    </row>
    <row r="63" spans="1:23" ht="24.75" customHeight="1" thickBot="1" x14ac:dyDescent="0.25">
      <c r="A63" s="96" t="s">
        <v>237</v>
      </c>
      <c r="B63" s="101" t="s">
        <v>238</v>
      </c>
      <c r="C63" s="276">
        <f t="shared" si="16"/>
        <v>41100</v>
      </c>
      <c r="D63" s="277">
        <f>SUM(D64:D66)</f>
        <v>18100</v>
      </c>
      <c r="E63" s="415">
        <f>SUM(E64:E66)</f>
        <v>0</v>
      </c>
      <c r="F63" s="293">
        <f>SUM(F64:F66)</f>
        <v>23000</v>
      </c>
      <c r="G63" s="276">
        <f t="shared" si="2"/>
        <v>0</v>
      </c>
      <c r="H63" s="277">
        <f>SUM(H64:H66)</f>
        <v>0</v>
      </c>
      <c r="I63" s="415">
        <f>SUM(I64:I66)</f>
        <v>0</v>
      </c>
      <c r="J63" s="293">
        <f>SUM(J64:J66)</f>
        <v>0</v>
      </c>
      <c r="K63" s="276">
        <f t="shared" si="3"/>
        <v>2456.7799999999997</v>
      </c>
      <c r="L63" s="303">
        <f>SUM(L64:L66)</f>
        <v>2456.7799999999997</v>
      </c>
      <c r="M63" s="303">
        <f>SUM(M64:M66)</f>
        <v>0</v>
      </c>
      <c r="N63" s="304">
        <f>SUM(N64:N66)</f>
        <v>0</v>
      </c>
      <c r="O63" s="276">
        <f t="shared" si="4"/>
        <v>0</v>
      </c>
      <c r="P63" s="277">
        <f>SUM(P64:P66)</f>
        <v>0</v>
      </c>
      <c r="Q63" s="293"/>
      <c r="R63" s="293">
        <f>SUM(R64:R66)</f>
        <v>0</v>
      </c>
      <c r="S63" s="276">
        <f>T63+V63</f>
        <v>43556.78</v>
      </c>
      <c r="T63" s="277">
        <f>D63+H63+L63+P63</f>
        <v>20556.78</v>
      </c>
      <c r="U63" s="277">
        <f>E63+I63+M63+Q63</f>
        <v>0</v>
      </c>
      <c r="V63" s="290">
        <f>F63+J63+N63+R63</f>
        <v>23000</v>
      </c>
    </row>
    <row r="64" spans="1:23" ht="13.5" customHeight="1" x14ac:dyDescent="0.2">
      <c r="A64" s="84"/>
      <c r="B64" s="102" t="s">
        <v>154</v>
      </c>
      <c r="C64" s="185">
        <f t="shared" si="16"/>
        <v>34200</v>
      </c>
      <c r="D64" s="186">
        <f>SUM('prog-6'!D167)</f>
        <v>11200</v>
      </c>
      <c r="E64" s="419">
        <f>SUM('prog-6'!E167)</f>
        <v>0</v>
      </c>
      <c r="F64" s="186">
        <f>SUM('prog-6'!F167)</f>
        <v>23000</v>
      </c>
      <c r="G64" s="185">
        <f t="shared" si="2"/>
        <v>0</v>
      </c>
      <c r="H64" s="186">
        <f>SUM('prog-6'!H167)</f>
        <v>0</v>
      </c>
      <c r="I64" s="419">
        <f>SUM('prog-6'!I167)</f>
        <v>0</v>
      </c>
      <c r="J64" s="186">
        <f>SUM('prog-6'!J167)</f>
        <v>0</v>
      </c>
      <c r="K64" s="185">
        <f t="shared" si="3"/>
        <v>2456.7799999999997</v>
      </c>
      <c r="L64" s="186">
        <f>SUM('prog-6'!L167)</f>
        <v>2456.7799999999997</v>
      </c>
      <c r="M64" s="186">
        <f>SUM('prog-6'!M167)</f>
        <v>0</v>
      </c>
      <c r="N64" s="186">
        <f>SUM('prog-6'!N167)</f>
        <v>0</v>
      </c>
      <c r="O64" s="185">
        <f t="shared" si="4"/>
        <v>0</v>
      </c>
      <c r="P64" s="186">
        <f>SUM('prog-6'!P167)</f>
        <v>0</v>
      </c>
      <c r="Q64" s="186">
        <f>SUM('prog-6'!Q167)</f>
        <v>0</v>
      </c>
      <c r="R64" s="186">
        <f>SUM('prog-6'!R167)</f>
        <v>0</v>
      </c>
      <c r="S64" s="278">
        <f>T64+V64</f>
        <v>36656.78</v>
      </c>
      <c r="T64" s="279">
        <f>D64+H64+L64+P64</f>
        <v>13656.779999999999</v>
      </c>
      <c r="U64" s="279">
        <f>E64+I64+M64</f>
        <v>0</v>
      </c>
      <c r="V64" s="294">
        <f>F64+J64+N64+R64</f>
        <v>23000</v>
      </c>
    </row>
    <row r="65" spans="1:23" ht="13.5" customHeight="1" x14ac:dyDescent="0.2">
      <c r="A65" s="84"/>
      <c r="B65" s="94" t="s">
        <v>174</v>
      </c>
      <c r="C65" s="291">
        <f t="shared" si="16"/>
        <v>300</v>
      </c>
      <c r="D65" s="187">
        <f>SUM('prog-6'!D233)</f>
        <v>300</v>
      </c>
      <c r="E65" s="417">
        <f>SUM('prog-6'!E233)</f>
        <v>0</v>
      </c>
      <c r="F65" s="187">
        <f>SUM('prog-6'!F233)</f>
        <v>0</v>
      </c>
      <c r="G65" s="291">
        <f t="shared" si="2"/>
        <v>0</v>
      </c>
      <c r="H65" s="187">
        <f>SUM('prog-6'!H233)</f>
        <v>0</v>
      </c>
      <c r="I65" s="417">
        <f>SUM('prog-6'!I233)</f>
        <v>0</v>
      </c>
      <c r="J65" s="187">
        <f>SUM('prog-6'!J233)</f>
        <v>0</v>
      </c>
      <c r="K65" s="291">
        <f t="shared" si="3"/>
        <v>0</v>
      </c>
      <c r="L65" s="187">
        <f>SUM('prog-6'!L233)</f>
        <v>0</v>
      </c>
      <c r="M65" s="187">
        <f>SUM('prog-6'!M233)</f>
        <v>0</v>
      </c>
      <c r="N65" s="187">
        <f>SUM('prog-6'!N233)</f>
        <v>0</v>
      </c>
      <c r="O65" s="291">
        <f t="shared" si="4"/>
        <v>0</v>
      </c>
      <c r="P65" s="187">
        <f>SUM('prog-6'!P233)</f>
        <v>0</v>
      </c>
      <c r="Q65" s="187">
        <f>SUM('prog-6'!Q233)</f>
        <v>0</v>
      </c>
      <c r="R65" s="187">
        <f>SUM('prog-6'!R233)</f>
        <v>0</v>
      </c>
      <c r="S65" s="291">
        <f t="shared" ref="S65:S66" si="41">T65+V65</f>
        <v>300</v>
      </c>
      <c r="T65" s="187">
        <f t="shared" ref="T65:T66" si="42">D65+H65+L65+P65</f>
        <v>300</v>
      </c>
      <c r="U65" s="187">
        <f t="shared" ref="U65:U66" si="43">E65+I65+M65</f>
        <v>0</v>
      </c>
      <c r="V65" s="230">
        <f t="shared" ref="V65:V66" si="44">F65+J65+N65+R65</f>
        <v>0</v>
      </c>
    </row>
    <row r="66" spans="1:23" ht="13.5" customHeight="1" thickBot="1" x14ac:dyDescent="0.25">
      <c r="A66" s="98"/>
      <c r="B66" s="104" t="s">
        <v>329</v>
      </c>
      <c r="C66" s="281">
        <f t="shared" si="16"/>
        <v>6600</v>
      </c>
      <c r="D66" s="280">
        <f>SUM('prog-6'!D533)</f>
        <v>6600</v>
      </c>
      <c r="E66" s="418">
        <f>SUM('prog-6'!E533)</f>
        <v>0</v>
      </c>
      <c r="F66" s="280">
        <f>SUM('prog-6'!F533)</f>
        <v>0</v>
      </c>
      <c r="G66" s="281">
        <f t="shared" si="2"/>
        <v>0</v>
      </c>
      <c r="H66" s="280">
        <f>SUM('prog-6'!H533)</f>
        <v>0</v>
      </c>
      <c r="I66" s="418">
        <f>SUM('prog-6'!I533)</f>
        <v>0</v>
      </c>
      <c r="J66" s="280">
        <f>SUM('prog-6'!J533)</f>
        <v>0</v>
      </c>
      <c r="K66" s="281">
        <f t="shared" si="3"/>
        <v>0</v>
      </c>
      <c r="L66" s="280">
        <f>SUM('prog-6'!L533)</f>
        <v>0</v>
      </c>
      <c r="M66" s="280">
        <f>SUM('prog-6'!M533)</f>
        <v>0</v>
      </c>
      <c r="N66" s="280">
        <f>SUM('prog-6'!N533)</f>
        <v>0</v>
      </c>
      <c r="O66" s="281">
        <f t="shared" si="4"/>
        <v>0</v>
      </c>
      <c r="P66" s="280">
        <f>SUM('prog-6'!P533)</f>
        <v>0</v>
      </c>
      <c r="Q66" s="280">
        <f>SUM('prog-6'!Q533)</f>
        <v>0</v>
      </c>
      <c r="R66" s="280">
        <f>SUM('prog-6'!R533)</f>
        <v>0</v>
      </c>
      <c r="S66" s="201">
        <f t="shared" si="41"/>
        <v>6600</v>
      </c>
      <c r="T66" s="202">
        <f t="shared" si="42"/>
        <v>6600</v>
      </c>
      <c r="U66" s="202">
        <f t="shared" si="43"/>
        <v>0</v>
      </c>
      <c r="V66" s="224">
        <f t="shared" si="44"/>
        <v>0</v>
      </c>
    </row>
    <row r="67" spans="1:23" ht="13.5" customHeight="1" thickBot="1" x14ac:dyDescent="0.25">
      <c r="A67" s="96" t="s">
        <v>239</v>
      </c>
      <c r="B67" s="101" t="s">
        <v>400</v>
      </c>
      <c r="C67" s="276">
        <f t="shared" si="16"/>
        <v>182500</v>
      </c>
      <c r="D67" s="277">
        <f>SUM(D68:D69)</f>
        <v>182500</v>
      </c>
      <c r="E67" s="415">
        <f>SUM(E68:E69)</f>
        <v>109500</v>
      </c>
      <c r="F67" s="293">
        <f>SUM(F68:F69)</f>
        <v>0</v>
      </c>
      <c r="G67" s="305">
        <f t="shared" si="2"/>
        <v>662140</v>
      </c>
      <c r="H67" s="303">
        <f>SUM(H68:H69)</f>
        <v>662140</v>
      </c>
      <c r="I67" s="427">
        <f>SUM(I68:I69)</f>
        <v>616061</v>
      </c>
      <c r="J67" s="303">
        <f>SUM(J68:J69)</f>
        <v>0</v>
      </c>
      <c r="K67" s="276">
        <f>L67+N67</f>
        <v>3670.5299999999997</v>
      </c>
      <c r="L67" s="303">
        <f>SUM(L68:L69)</f>
        <v>3670.5299999999997</v>
      </c>
      <c r="M67" s="303">
        <f>SUM(M68:M69)</f>
        <v>0</v>
      </c>
      <c r="N67" s="303">
        <f>SUM(N68:N69)</f>
        <v>0</v>
      </c>
      <c r="O67" s="276">
        <f t="shared" si="4"/>
        <v>0</v>
      </c>
      <c r="P67" s="303">
        <f>SUM(P68:P69)</f>
        <v>0</v>
      </c>
      <c r="Q67" s="303"/>
      <c r="R67" s="303">
        <f>SUM(R68:R69)</f>
        <v>0</v>
      </c>
      <c r="S67" s="276">
        <f>T67+V67</f>
        <v>848310.53</v>
      </c>
      <c r="T67" s="277">
        <f>D67+H67+L67+P67</f>
        <v>848310.53</v>
      </c>
      <c r="U67" s="277">
        <f>E67+I67+M67+Q67</f>
        <v>725561</v>
      </c>
      <c r="V67" s="290">
        <f>F67+J67+N67+R67</f>
        <v>0</v>
      </c>
      <c r="W67" s="146"/>
    </row>
    <row r="68" spans="1:23" ht="13.5" customHeight="1" x14ac:dyDescent="0.2">
      <c r="A68" s="84"/>
      <c r="B68" s="102" t="s">
        <v>326</v>
      </c>
      <c r="C68" s="185">
        <f t="shared" si="16"/>
        <v>1600</v>
      </c>
      <c r="D68" s="186">
        <f>SUM('prog-6'!D277)</f>
        <v>1600</v>
      </c>
      <c r="E68" s="419">
        <f>SUM('prog-6'!E277)</f>
        <v>0</v>
      </c>
      <c r="F68" s="186">
        <f>SUM('prog-6'!F277)</f>
        <v>0</v>
      </c>
      <c r="G68" s="191">
        <f t="shared" si="2"/>
        <v>19500</v>
      </c>
      <c r="H68" s="186">
        <f>SUM('prog-6'!H277)</f>
        <v>19500</v>
      </c>
      <c r="I68" s="419">
        <f>SUM('prog-6'!I277)</f>
        <v>600</v>
      </c>
      <c r="J68" s="186">
        <f>SUM('prog-6'!J277)</f>
        <v>0</v>
      </c>
      <c r="K68" s="185">
        <f>L68+N68</f>
        <v>0</v>
      </c>
      <c r="L68" s="186">
        <f>SUM('prog-6'!L277)</f>
        <v>0</v>
      </c>
      <c r="M68" s="186">
        <f>SUM('prog-6'!M277)</f>
        <v>0</v>
      </c>
      <c r="N68" s="186">
        <f>SUM('prog-6'!N277)</f>
        <v>0</v>
      </c>
      <c r="O68" s="185">
        <f t="shared" si="4"/>
        <v>0</v>
      </c>
      <c r="P68" s="186">
        <f>SUM('prog-6'!P277)</f>
        <v>0</v>
      </c>
      <c r="Q68" s="186">
        <f>SUM('prog-6'!Q277)</f>
        <v>0</v>
      </c>
      <c r="R68" s="186">
        <f>SUM('prog-6'!R277)</f>
        <v>0</v>
      </c>
      <c r="S68" s="287">
        <f>T68+V68</f>
        <v>21100</v>
      </c>
      <c r="T68" s="288">
        <f>D68+H68+L68+P68</f>
        <v>21100</v>
      </c>
      <c r="U68" s="288">
        <f>E68+I68+M68</f>
        <v>600</v>
      </c>
      <c r="V68" s="289">
        <f>F68+J68+N68+R68</f>
        <v>0</v>
      </c>
    </row>
    <row r="69" spans="1:23" ht="13.5" customHeight="1" thickBot="1" x14ac:dyDescent="0.25">
      <c r="A69" s="98"/>
      <c r="B69" s="104" t="s">
        <v>328</v>
      </c>
      <c r="C69" s="281">
        <f t="shared" si="16"/>
        <v>180900</v>
      </c>
      <c r="D69" s="280">
        <f>SUM('prog-6'!D337)</f>
        <v>180900</v>
      </c>
      <c r="E69" s="418">
        <f>SUM('prog-6'!E337)</f>
        <v>109500</v>
      </c>
      <c r="F69" s="280">
        <f>SUM('prog-6'!F337)</f>
        <v>0</v>
      </c>
      <c r="G69" s="306">
        <f t="shared" si="2"/>
        <v>642640</v>
      </c>
      <c r="H69" s="280">
        <f>SUM('prog-6'!H337)</f>
        <v>642640</v>
      </c>
      <c r="I69" s="418">
        <f>SUM('prog-6'!I337)</f>
        <v>615461</v>
      </c>
      <c r="J69" s="280">
        <f>SUM('prog-6'!J337)</f>
        <v>0</v>
      </c>
      <c r="K69" s="281">
        <f>L69+N69</f>
        <v>3670.5299999999997</v>
      </c>
      <c r="L69" s="280">
        <f>SUM('prog-6'!L337)</f>
        <v>3670.5299999999997</v>
      </c>
      <c r="M69" s="280">
        <f>SUM('prog-6'!M337)</f>
        <v>0</v>
      </c>
      <c r="N69" s="280">
        <f>SUM('prog-6'!N337)</f>
        <v>0</v>
      </c>
      <c r="O69" s="281">
        <f t="shared" si="4"/>
        <v>0</v>
      </c>
      <c r="P69" s="280">
        <f>SUM('prog-6'!P337)</f>
        <v>0</v>
      </c>
      <c r="Q69" s="280">
        <f>SUM('prog-6'!Q337)</f>
        <v>0</v>
      </c>
      <c r="R69" s="280">
        <f>SUM('prog-6'!R337)</f>
        <v>0</v>
      </c>
      <c r="S69" s="281">
        <f t="shared" ref="S69" si="45">T69+V69</f>
        <v>827210.53</v>
      </c>
      <c r="T69" s="280">
        <f>D69+H69+L69+P69</f>
        <v>827210.53</v>
      </c>
      <c r="U69" s="280">
        <f>E69+I69+M69+Q69</f>
        <v>724961</v>
      </c>
      <c r="V69" s="292">
        <f>F69+J69+N69+R69</f>
        <v>0</v>
      </c>
    </row>
    <row r="70" spans="1:23" s="81" customFormat="1" ht="13.5" customHeight="1" thickBot="1" x14ac:dyDescent="0.25">
      <c r="A70" s="100" t="s">
        <v>240</v>
      </c>
      <c r="B70" s="101" t="s">
        <v>398</v>
      </c>
      <c r="C70" s="276">
        <f t="shared" si="16"/>
        <v>222300</v>
      </c>
      <c r="D70" s="277">
        <f>SUM(D71:D73)</f>
        <v>222300</v>
      </c>
      <c r="E70" s="415">
        <f t="shared" ref="E70:F70" si="46">SUM(E71:E73)</f>
        <v>136400</v>
      </c>
      <c r="F70" s="277">
        <f t="shared" si="46"/>
        <v>0</v>
      </c>
      <c r="G70" s="305">
        <f t="shared" si="2"/>
        <v>485920</v>
      </c>
      <c r="H70" s="277">
        <f>SUM(H71:H73)</f>
        <v>482620</v>
      </c>
      <c r="I70" s="415">
        <f t="shared" ref="I70" si="47">SUM(I71:I73)</f>
        <v>433750</v>
      </c>
      <c r="J70" s="277">
        <f t="shared" ref="J70" si="48">SUM(J71:J73)</f>
        <v>3300</v>
      </c>
      <c r="K70" s="276">
        <f>L70+N70</f>
        <v>1600</v>
      </c>
      <c r="L70" s="277">
        <f>SUM(L71:L73)</f>
        <v>1600</v>
      </c>
      <c r="M70" s="277">
        <f t="shared" ref="M70" si="49">SUM(M71:M73)</f>
        <v>0</v>
      </c>
      <c r="N70" s="277">
        <f t="shared" ref="N70" si="50">SUM(N71:N73)</f>
        <v>0</v>
      </c>
      <c r="O70" s="276">
        <f t="shared" si="4"/>
        <v>0</v>
      </c>
      <c r="P70" s="277">
        <f>SUM(P71:P73)</f>
        <v>0</v>
      </c>
      <c r="Q70" s="277">
        <f t="shared" ref="Q70" si="51">SUM(Q71:Q73)</f>
        <v>0</v>
      </c>
      <c r="R70" s="277">
        <f t="shared" ref="R70" si="52">SUM(R71:R73)</f>
        <v>0</v>
      </c>
      <c r="S70" s="276">
        <f>T70+V70</f>
        <v>709820</v>
      </c>
      <c r="T70" s="277">
        <f>D70+H70+L70+P70</f>
        <v>706520</v>
      </c>
      <c r="U70" s="277">
        <f>E70+I70+M70+Q70</f>
        <v>570150</v>
      </c>
      <c r="V70" s="290">
        <f>F70+J70+N70+R70</f>
        <v>3300</v>
      </c>
    </row>
    <row r="71" spans="1:23" ht="13.5" customHeight="1" x14ac:dyDescent="0.2">
      <c r="A71" s="83"/>
      <c r="B71" s="102" t="s">
        <v>154</v>
      </c>
      <c r="C71" s="185">
        <f t="shared" ref="C71" si="53">D71+F71</f>
        <v>0</v>
      </c>
      <c r="D71" s="186">
        <f>SUM('prog-6'!D180)</f>
        <v>0</v>
      </c>
      <c r="E71" s="419">
        <f>SUM('prog-6'!E180)</f>
        <v>0</v>
      </c>
      <c r="F71" s="186">
        <f>SUM('prog-6'!F180)</f>
        <v>0</v>
      </c>
      <c r="G71" s="185">
        <f t="shared" ref="G71" si="54">H71+J71</f>
        <v>1000</v>
      </c>
      <c r="H71" s="186">
        <f>SUM('prog-6'!H180)</f>
        <v>1000</v>
      </c>
      <c r="I71" s="419">
        <f>SUM('prog-6'!I180)</f>
        <v>0</v>
      </c>
      <c r="J71" s="186">
        <f>SUM('prog-6'!J180)</f>
        <v>0</v>
      </c>
      <c r="K71" s="185">
        <f t="shared" ref="K71" si="55">L71+N71</f>
        <v>0</v>
      </c>
      <c r="L71" s="186">
        <f>SUM('prog-6'!L180)</f>
        <v>0</v>
      </c>
      <c r="M71" s="186">
        <f>SUM('prog-6'!M180)</f>
        <v>0</v>
      </c>
      <c r="N71" s="186">
        <f>SUM('prog-6'!N180)</f>
        <v>0</v>
      </c>
      <c r="O71" s="185">
        <f t="shared" ref="O71" si="56">P71+R71</f>
        <v>0</v>
      </c>
      <c r="P71" s="186">
        <f>SUM('prog-6'!P180)</f>
        <v>0</v>
      </c>
      <c r="Q71" s="186">
        <f>SUM('prog-6'!Q180)</f>
        <v>0</v>
      </c>
      <c r="R71" s="186">
        <f>SUM('prog-6'!R180)</f>
        <v>0</v>
      </c>
      <c r="S71" s="185">
        <f t="shared" ref="S71" si="57">T71+V71</f>
        <v>1000</v>
      </c>
      <c r="T71" s="186">
        <f>D71+H71+L71+P71</f>
        <v>1000</v>
      </c>
      <c r="U71" s="186">
        <f t="shared" ref="U71:V71" si="58">E71+I71+M71+Q71</f>
        <v>0</v>
      </c>
      <c r="V71" s="294">
        <f t="shared" si="58"/>
        <v>0</v>
      </c>
    </row>
    <row r="72" spans="1:23" s="81" customFormat="1" ht="13.5" customHeight="1" x14ac:dyDescent="0.2">
      <c r="A72" s="83"/>
      <c r="B72" s="102" t="s">
        <v>326</v>
      </c>
      <c r="C72" s="185">
        <f t="shared" si="16"/>
        <v>5200</v>
      </c>
      <c r="D72" s="186">
        <f>SUM('prog-6'!D278)</f>
        <v>5200</v>
      </c>
      <c r="E72" s="419">
        <f>SUM('prog-6'!E278)</f>
        <v>0</v>
      </c>
      <c r="F72" s="186">
        <f>SUM('prog-6'!F278)</f>
        <v>0</v>
      </c>
      <c r="G72" s="191">
        <f t="shared" si="2"/>
        <v>35100</v>
      </c>
      <c r="H72" s="186">
        <f>SUM('prog-6'!H278)</f>
        <v>35100</v>
      </c>
      <c r="I72" s="419">
        <f>SUM('prog-6'!I278)</f>
        <v>1100</v>
      </c>
      <c r="J72" s="186">
        <f>SUM('prog-6'!J278)</f>
        <v>0</v>
      </c>
      <c r="K72" s="185">
        <f t="shared" ref="K72:K123" si="59">L72+N72</f>
        <v>0</v>
      </c>
      <c r="L72" s="186">
        <f>SUM('prog-6'!L278)</f>
        <v>0</v>
      </c>
      <c r="M72" s="186">
        <f>SUM('prog-6'!M278)</f>
        <v>0</v>
      </c>
      <c r="N72" s="186">
        <f>SUM('prog-6'!N278)</f>
        <v>0</v>
      </c>
      <c r="O72" s="185">
        <f t="shared" si="4"/>
        <v>0</v>
      </c>
      <c r="P72" s="186">
        <f>SUM('prog-6'!P278)</f>
        <v>0</v>
      </c>
      <c r="Q72" s="186">
        <f>SUM('prog-6'!Q278)</f>
        <v>0</v>
      </c>
      <c r="R72" s="186">
        <f>SUM('prog-6'!R278)</f>
        <v>0</v>
      </c>
      <c r="S72" s="185">
        <f t="shared" si="5"/>
        <v>40300</v>
      </c>
      <c r="T72" s="186">
        <f t="shared" ref="T72:T73" si="60">D72+H72+L72+P72</f>
        <v>40300</v>
      </c>
      <c r="U72" s="186">
        <f t="shared" ref="U72:U73" si="61">E72+I72+M72+Q72</f>
        <v>1100</v>
      </c>
      <c r="V72" s="300">
        <f t="shared" ref="V72:V73" si="62">F72+J72+N72+R72</f>
        <v>0</v>
      </c>
      <c r="W72" s="241"/>
    </row>
    <row r="73" spans="1:23" s="81" customFormat="1" ht="13.5" customHeight="1" thickBot="1" x14ac:dyDescent="0.25">
      <c r="A73" s="103"/>
      <c r="B73" s="104" t="s">
        <v>328</v>
      </c>
      <c r="C73" s="281">
        <f t="shared" si="16"/>
        <v>217100</v>
      </c>
      <c r="D73" s="280">
        <f>SUM('prog-6'!D345)</f>
        <v>217100</v>
      </c>
      <c r="E73" s="418">
        <f>SUM('prog-6'!E345)</f>
        <v>136400</v>
      </c>
      <c r="F73" s="280">
        <f>SUM('prog-6'!F345)</f>
        <v>0</v>
      </c>
      <c r="G73" s="306">
        <f t="shared" si="2"/>
        <v>449820</v>
      </c>
      <c r="H73" s="280">
        <f>SUM('prog-6'!H345)</f>
        <v>446520</v>
      </c>
      <c r="I73" s="418">
        <f>SUM('prog-6'!I345)</f>
        <v>432650</v>
      </c>
      <c r="J73" s="280">
        <f>SUM('prog-6'!J345)</f>
        <v>3300</v>
      </c>
      <c r="K73" s="281">
        <f t="shared" si="59"/>
        <v>1600</v>
      </c>
      <c r="L73" s="280">
        <f>SUM('prog-6'!L345)</f>
        <v>1600</v>
      </c>
      <c r="M73" s="280">
        <f>SUM('prog-6'!M345)</f>
        <v>0</v>
      </c>
      <c r="N73" s="280">
        <f>SUM('prog-6'!N345)</f>
        <v>0</v>
      </c>
      <c r="O73" s="281">
        <f t="shared" si="4"/>
        <v>0</v>
      </c>
      <c r="P73" s="280">
        <f>SUM('prog-6'!P345)</f>
        <v>0</v>
      </c>
      <c r="Q73" s="280">
        <f>SUM('prog-6'!Q345)</f>
        <v>0</v>
      </c>
      <c r="R73" s="280">
        <f>SUM('prog-6'!R345)</f>
        <v>0</v>
      </c>
      <c r="S73" s="281">
        <f t="shared" si="5"/>
        <v>668520</v>
      </c>
      <c r="T73" s="186">
        <f t="shared" si="60"/>
        <v>665220</v>
      </c>
      <c r="U73" s="186">
        <f t="shared" si="61"/>
        <v>569050</v>
      </c>
      <c r="V73" s="300">
        <f t="shared" si="62"/>
        <v>3300</v>
      </c>
      <c r="W73" s="241"/>
    </row>
    <row r="74" spans="1:23" s="81" customFormat="1" ht="13.5" customHeight="1" thickBot="1" x14ac:dyDescent="0.25">
      <c r="A74" s="96" t="s">
        <v>241</v>
      </c>
      <c r="B74" s="101" t="s">
        <v>242</v>
      </c>
      <c r="C74" s="276">
        <f t="shared" si="16"/>
        <v>423400</v>
      </c>
      <c r="D74" s="277">
        <f>SUM(D75:D76)</f>
        <v>420400</v>
      </c>
      <c r="E74" s="415">
        <f>SUM(E75:E76)</f>
        <v>303300</v>
      </c>
      <c r="F74" s="293">
        <f>SUM(F75:F76)</f>
        <v>3000</v>
      </c>
      <c r="G74" s="305">
        <f t="shared" si="2"/>
        <v>908430</v>
      </c>
      <c r="H74" s="303">
        <f>SUM(H75:H76)</f>
        <v>908430</v>
      </c>
      <c r="I74" s="427">
        <f>SUM(I75:I76)</f>
        <v>838906</v>
      </c>
      <c r="J74" s="304">
        <f>SUM(J75:J76)</f>
        <v>0</v>
      </c>
      <c r="K74" s="276">
        <f t="shared" si="59"/>
        <v>15908.35</v>
      </c>
      <c r="L74" s="303">
        <f>SUM(L75:L76)</f>
        <v>12400</v>
      </c>
      <c r="M74" s="303">
        <f>SUM(M75:M76)</f>
        <v>0</v>
      </c>
      <c r="N74" s="304">
        <f>SUM(N75:N76)</f>
        <v>3508.35</v>
      </c>
      <c r="O74" s="276">
        <f t="shared" si="4"/>
        <v>0</v>
      </c>
      <c r="P74" s="303">
        <f>SUM(P75:P76)</f>
        <v>0</v>
      </c>
      <c r="Q74" s="304"/>
      <c r="R74" s="304">
        <f>SUM(R75:R76)</f>
        <v>0</v>
      </c>
      <c r="S74" s="276">
        <f>T74+V74</f>
        <v>1347738.35</v>
      </c>
      <c r="T74" s="277">
        <f>D74+H74+L74+P74</f>
        <v>1341230</v>
      </c>
      <c r="U74" s="277">
        <f>E74+I74+M74+Q74</f>
        <v>1142206</v>
      </c>
      <c r="V74" s="290">
        <f>F74+J74+N74+R74</f>
        <v>6508.35</v>
      </c>
    </row>
    <row r="75" spans="1:23" s="81" customFormat="1" ht="13.5" customHeight="1" x14ac:dyDescent="0.2">
      <c r="A75" s="84"/>
      <c r="B75" s="102" t="s">
        <v>326</v>
      </c>
      <c r="C75" s="185">
        <f t="shared" si="16"/>
        <v>5800</v>
      </c>
      <c r="D75" s="186">
        <f>SUM('prog-6'!D279)</f>
        <v>5800</v>
      </c>
      <c r="E75" s="419">
        <f>SUM('prog-6'!E279)</f>
        <v>0</v>
      </c>
      <c r="F75" s="186">
        <f>SUM('prog-6'!F279)</f>
        <v>0</v>
      </c>
      <c r="G75" s="191">
        <f t="shared" si="2"/>
        <v>47700</v>
      </c>
      <c r="H75" s="186">
        <f>SUM('prog-6'!H279)</f>
        <v>47700</v>
      </c>
      <c r="I75" s="419">
        <f>SUM('prog-6'!I279)</f>
        <v>1500</v>
      </c>
      <c r="J75" s="186">
        <f>SUM('prog-6'!J279)</f>
        <v>0</v>
      </c>
      <c r="K75" s="185">
        <f t="shared" si="59"/>
        <v>0</v>
      </c>
      <c r="L75" s="186">
        <f>SUM('prog-6'!L279)</f>
        <v>0</v>
      </c>
      <c r="M75" s="186">
        <f>SUM('prog-6'!M279)</f>
        <v>0</v>
      </c>
      <c r="N75" s="186">
        <f>SUM('prog-6'!N279)</f>
        <v>0</v>
      </c>
      <c r="O75" s="185">
        <f t="shared" si="4"/>
        <v>0</v>
      </c>
      <c r="P75" s="186">
        <f>SUM('prog-6'!P279)</f>
        <v>0</v>
      </c>
      <c r="Q75" s="186">
        <f>SUM('prog-6'!Q279)</f>
        <v>0</v>
      </c>
      <c r="R75" s="186">
        <f>SUM('prog-6'!R279)</f>
        <v>0</v>
      </c>
      <c r="S75" s="287">
        <f>T75+V75</f>
        <v>53500</v>
      </c>
      <c r="T75" s="288">
        <f t="shared" ref="T75:T106" si="63">D75+H75+L75+P75</f>
        <v>53500</v>
      </c>
      <c r="U75" s="288">
        <f>E75+I75+M75</f>
        <v>1500</v>
      </c>
      <c r="V75" s="289">
        <f t="shared" ref="V75:V90" si="64">F75+J75+N75+R75</f>
        <v>0</v>
      </c>
    </row>
    <row r="76" spans="1:23" s="81" customFormat="1" ht="13.5" customHeight="1" thickBot="1" x14ac:dyDescent="0.25">
      <c r="A76" s="98"/>
      <c r="B76" s="104" t="s">
        <v>328</v>
      </c>
      <c r="C76" s="281">
        <f t="shared" si="16"/>
        <v>417600</v>
      </c>
      <c r="D76" s="280">
        <f>SUM('prog-6'!D353)</f>
        <v>414600</v>
      </c>
      <c r="E76" s="418">
        <f>SUM('prog-6'!E353)</f>
        <v>303300</v>
      </c>
      <c r="F76" s="280">
        <f>SUM('prog-6'!F353)</f>
        <v>3000</v>
      </c>
      <c r="G76" s="306">
        <f t="shared" si="2"/>
        <v>860730</v>
      </c>
      <c r="H76" s="280">
        <f>SUM('prog-6'!H353)</f>
        <v>860730</v>
      </c>
      <c r="I76" s="418">
        <f>SUM('prog-6'!I353)</f>
        <v>837406</v>
      </c>
      <c r="J76" s="280">
        <f>SUM('prog-6'!J353)</f>
        <v>0</v>
      </c>
      <c r="K76" s="281">
        <f t="shared" si="59"/>
        <v>15908.35</v>
      </c>
      <c r="L76" s="280">
        <f>SUM('prog-6'!L353)</f>
        <v>12400</v>
      </c>
      <c r="M76" s="280">
        <f>SUM('prog-6'!M353)</f>
        <v>0</v>
      </c>
      <c r="N76" s="280">
        <f>SUM('prog-6'!N353)</f>
        <v>3508.35</v>
      </c>
      <c r="O76" s="281">
        <f t="shared" si="4"/>
        <v>0</v>
      </c>
      <c r="P76" s="280">
        <f>SUM('prog-6'!P353)</f>
        <v>0</v>
      </c>
      <c r="Q76" s="280">
        <f>SUM('prog-6'!Q353)</f>
        <v>0</v>
      </c>
      <c r="R76" s="280">
        <f>SUM('prog-6'!R353)</f>
        <v>0</v>
      </c>
      <c r="S76" s="281">
        <f t="shared" si="5"/>
        <v>1294238.3500000001</v>
      </c>
      <c r="T76" s="280">
        <f t="shared" si="63"/>
        <v>1287730</v>
      </c>
      <c r="U76" s="280">
        <f>E76+I76+M76+Q76</f>
        <v>1140706</v>
      </c>
      <c r="V76" s="292">
        <f t="shared" si="64"/>
        <v>6508.35</v>
      </c>
    </row>
    <row r="77" spans="1:23" s="81" customFormat="1" ht="13.5" customHeight="1" thickBot="1" x14ac:dyDescent="0.25">
      <c r="A77" s="96" t="s">
        <v>243</v>
      </c>
      <c r="B77" s="101" t="s">
        <v>244</v>
      </c>
      <c r="C77" s="276">
        <f t="shared" si="16"/>
        <v>267200</v>
      </c>
      <c r="D77" s="307">
        <f>SUM(D78:D79)</f>
        <v>267200</v>
      </c>
      <c r="E77" s="420">
        <f>SUM(E78:E79)</f>
        <v>185700</v>
      </c>
      <c r="F77" s="308">
        <f>SUM(F78:F79)</f>
        <v>0</v>
      </c>
      <c r="G77" s="309">
        <f t="shared" si="2"/>
        <v>497720</v>
      </c>
      <c r="H77" s="310">
        <f>SUM(H78:H79)</f>
        <v>497720</v>
      </c>
      <c r="I77" s="428">
        <f>SUM(I78:I79)</f>
        <v>433288</v>
      </c>
      <c r="J77" s="311">
        <f>SUM(J78:J79)</f>
        <v>0</v>
      </c>
      <c r="K77" s="276">
        <f t="shared" si="59"/>
        <v>5100</v>
      </c>
      <c r="L77" s="310">
        <f>SUM(L78:L79)</f>
        <v>5100</v>
      </c>
      <c r="M77" s="310">
        <f>SUM(M78:M79)</f>
        <v>0</v>
      </c>
      <c r="N77" s="311">
        <f>SUM(N78:N79)</f>
        <v>0</v>
      </c>
      <c r="O77" s="276">
        <f t="shared" si="4"/>
        <v>0</v>
      </c>
      <c r="P77" s="310">
        <f>SUM(P78:P79)</f>
        <v>0</v>
      </c>
      <c r="Q77" s="310"/>
      <c r="R77" s="311">
        <f>SUM(R78:R79)</f>
        <v>0</v>
      </c>
      <c r="S77" s="276">
        <f>T77+V77</f>
        <v>770020</v>
      </c>
      <c r="T77" s="277">
        <f t="shared" si="63"/>
        <v>770020</v>
      </c>
      <c r="U77" s="277">
        <f>E77+I77+M77+Q77</f>
        <v>618988</v>
      </c>
      <c r="V77" s="290">
        <f t="shared" si="64"/>
        <v>0</v>
      </c>
    </row>
    <row r="78" spans="1:23" s="81" customFormat="1" ht="13.5" customHeight="1" x14ac:dyDescent="0.2">
      <c r="A78" s="84"/>
      <c r="B78" s="102" t="s">
        <v>326</v>
      </c>
      <c r="C78" s="185">
        <f t="shared" si="16"/>
        <v>3700</v>
      </c>
      <c r="D78" s="186">
        <f>SUM('prog-6'!D280)</f>
        <v>3700</v>
      </c>
      <c r="E78" s="419">
        <f>SUM('prog-6'!E280)</f>
        <v>0</v>
      </c>
      <c r="F78" s="186">
        <f>SUM('prog-6'!F280)</f>
        <v>0</v>
      </c>
      <c r="G78" s="191">
        <f t="shared" si="2"/>
        <v>30100</v>
      </c>
      <c r="H78" s="186">
        <f>SUM('prog-6'!H280)</f>
        <v>30100</v>
      </c>
      <c r="I78" s="419">
        <f>SUM('prog-6'!I280)</f>
        <v>900</v>
      </c>
      <c r="J78" s="186">
        <f>SUM('prog-6'!J280)</f>
        <v>0</v>
      </c>
      <c r="K78" s="185">
        <f t="shared" si="59"/>
        <v>0</v>
      </c>
      <c r="L78" s="186">
        <f>SUM('prog-6'!L280)</f>
        <v>0</v>
      </c>
      <c r="M78" s="186">
        <f>SUM('prog-6'!M280)</f>
        <v>0</v>
      </c>
      <c r="N78" s="186">
        <f>SUM('prog-6'!N280)</f>
        <v>0</v>
      </c>
      <c r="O78" s="185">
        <f t="shared" si="4"/>
        <v>0</v>
      </c>
      <c r="P78" s="186">
        <f>SUM('prog-6'!P280)</f>
        <v>0</v>
      </c>
      <c r="Q78" s="186">
        <f>SUM('prog-6'!Q280)</f>
        <v>0</v>
      </c>
      <c r="R78" s="186">
        <f>SUM('prog-6'!R280)</f>
        <v>0</v>
      </c>
      <c r="S78" s="287">
        <f>T78+V78</f>
        <v>33800</v>
      </c>
      <c r="T78" s="288">
        <f t="shared" si="63"/>
        <v>33800</v>
      </c>
      <c r="U78" s="288">
        <f>E78+I78+M78</f>
        <v>900</v>
      </c>
      <c r="V78" s="289">
        <f t="shared" si="64"/>
        <v>0</v>
      </c>
    </row>
    <row r="79" spans="1:23" s="81" customFormat="1" ht="13.5" customHeight="1" thickBot="1" x14ac:dyDescent="0.25">
      <c r="A79" s="98"/>
      <c r="B79" s="104" t="s">
        <v>328</v>
      </c>
      <c r="C79" s="281">
        <f t="shared" si="16"/>
        <v>263500</v>
      </c>
      <c r="D79" s="280">
        <f>SUM('prog-6'!D361)</f>
        <v>263500</v>
      </c>
      <c r="E79" s="418">
        <f>SUM('prog-6'!E361)</f>
        <v>185700</v>
      </c>
      <c r="F79" s="280">
        <f>SUM('prog-6'!F361)</f>
        <v>0</v>
      </c>
      <c r="G79" s="306">
        <f t="shared" si="2"/>
        <v>467620</v>
      </c>
      <c r="H79" s="280">
        <f>SUM('prog-6'!H361)</f>
        <v>467620</v>
      </c>
      <c r="I79" s="418">
        <f>SUM('prog-6'!I361)</f>
        <v>432388</v>
      </c>
      <c r="J79" s="280">
        <f>SUM('prog-6'!J361)</f>
        <v>0</v>
      </c>
      <c r="K79" s="281">
        <f t="shared" si="59"/>
        <v>5100</v>
      </c>
      <c r="L79" s="280">
        <f>SUM('prog-6'!L361)</f>
        <v>5100</v>
      </c>
      <c r="M79" s="280">
        <f>SUM('prog-6'!M361)</f>
        <v>0</v>
      </c>
      <c r="N79" s="280">
        <f>SUM('prog-6'!N361)</f>
        <v>0</v>
      </c>
      <c r="O79" s="281">
        <f t="shared" si="4"/>
        <v>0</v>
      </c>
      <c r="P79" s="280">
        <f>SUM('prog-6'!P361)</f>
        <v>0</v>
      </c>
      <c r="Q79" s="280">
        <f>SUM('prog-6'!Q361)</f>
        <v>0</v>
      </c>
      <c r="R79" s="280">
        <f>SUM('prog-6'!R361)</f>
        <v>0</v>
      </c>
      <c r="S79" s="281">
        <f t="shared" ref="S79" si="65">T79+V79</f>
        <v>736220</v>
      </c>
      <c r="T79" s="280">
        <f t="shared" si="63"/>
        <v>736220</v>
      </c>
      <c r="U79" s="280">
        <f>E79+I79+M79+Q79</f>
        <v>618088</v>
      </c>
      <c r="V79" s="292">
        <f t="shared" si="64"/>
        <v>0</v>
      </c>
    </row>
    <row r="80" spans="1:23" s="81" customFormat="1" ht="24.75" customHeight="1" thickBot="1" x14ac:dyDescent="0.25">
      <c r="A80" s="100" t="s">
        <v>245</v>
      </c>
      <c r="B80" s="101" t="s">
        <v>246</v>
      </c>
      <c r="C80" s="276">
        <f t="shared" si="16"/>
        <v>304100</v>
      </c>
      <c r="D80" s="277">
        <f>SUM(D81:D82)</f>
        <v>289100</v>
      </c>
      <c r="E80" s="415">
        <f>SUM(E81:E82)</f>
        <v>193700</v>
      </c>
      <c r="F80" s="293">
        <f>SUM(F81:F82)</f>
        <v>15000</v>
      </c>
      <c r="G80" s="305">
        <f t="shared" si="2"/>
        <v>599040</v>
      </c>
      <c r="H80" s="303">
        <f>SUM(H81:H82)</f>
        <v>599040</v>
      </c>
      <c r="I80" s="427">
        <f>SUM(I81:I82)</f>
        <v>527226</v>
      </c>
      <c r="J80" s="304">
        <f>SUM(J81:J82)</f>
        <v>0</v>
      </c>
      <c r="K80" s="276">
        <f t="shared" si="59"/>
        <v>13000</v>
      </c>
      <c r="L80" s="303">
        <f>SUM(L81:L82)</f>
        <v>13000</v>
      </c>
      <c r="M80" s="303">
        <f>SUM(M81:M82)</f>
        <v>0</v>
      </c>
      <c r="N80" s="304">
        <f>SUM(N81:N82)</f>
        <v>0</v>
      </c>
      <c r="O80" s="276">
        <f t="shared" si="4"/>
        <v>0</v>
      </c>
      <c r="P80" s="303">
        <f>SUM(P81:P82)</f>
        <v>0</v>
      </c>
      <c r="Q80" s="304"/>
      <c r="R80" s="304">
        <f>SUM(R81:R82)</f>
        <v>0</v>
      </c>
      <c r="S80" s="276">
        <f>T80+V80</f>
        <v>916140</v>
      </c>
      <c r="T80" s="277">
        <f t="shared" si="63"/>
        <v>901140</v>
      </c>
      <c r="U80" s="277">
        <f>E80+I80+M80+Q80</f>
        <v>720926</v>
      </c>
      <c r="V80" s="290">
        <f t="shared" si="64"/>
        <v>15000</v>
      </c>
    </row>
    <row r="81" spans="1:23" s="81" customFormat="1" ht="13.5" customHeight="1" x14ac:dyDescent="0.2">
      <c r="A81" s="83"/>
      <c r="B81" s="102" t="s">
        <v>326</v>
      </c>
      <c r="C81" s="185">
        <f t="shared" si="16"/>
        <v>3800</v>
      </c>
      <c r="D81" s="186">
        <f>SUM('prog-6'!D281)</f>
        <v>3800</v>
      </c>
      <c r="E81" s="419">
        <f>SUM('prog-6'!E281)</f>
        <v>0</v>
      </c>
      <c r="F81" s="186">
        <f>SUM('prog-6'!F281)</f>
        <v>0</v>
      </c>
      <c r="G81" s="191">
        <f t="shared" si="2"/>
        <v>45900</v>
      </c>
      <c r="H81" s="186">
        <f>SUM('prog-6'!H281)</f>
        <v>45900</v>
      </c>
      <c r="I81" s="419">
        <f>SUM('prog-6'!I281)</f>
        <v>1400</v>
      </c>
      <c r="J81" s="186">
        <f>SUM('prog-6'!J281)</f>
        <v>0</v>
      </c>
      <c r="K81" s="185">
        <f t="shared" si="59"/>
        <v>0</v>
      </c>
      <c r="L81" s="186">
        <f>SUM('prog-6'!L281)</f>
        <v>0</v>
      </c>
      <c r="M81" s="186">
        <f>SUM('prog-6'!M281)</f>
        <v>0</v>
      </c>
      <c r="N81" s="186">
        <f>SUM('prog-6'!N281)</f>
        <v>0</v>
      </c>
      <c r="O81" s="185">
        <f t="shared" si="4"/>
        <v>0</v>
      </c>
      <c r="P81" s="186">
        <f>SUM('prog-6'!P281)</f>
        <v>0</v>
      </c>
      <c r="Q81" s="186">
        <f>SUM('prog-6'!Q281)</f>
        <v>0</v>
      </c>
      <c r="R81" s="186">
        <f>SUM('prog-6'!R281)</f>
        <v>0</v>
      </c>
      <c r="S81" s="287">
        <f>T81+V81</f>
        <v>49700</v>
      </c>
      <c r="T81" s="288">
        <f t="shared" si="63"/>
        <v>49700</v>
      </c>
      <c r="U81" s="288">
        <f>E81+I81+M81</f>
        <v>1400</v>
      </c>
      <c r="V81" s="289">
        <f t="shared" si="64"/>
        <v>0</v>
      </c>
    </row>
    <row r="82" spans="1:23" s="81" customFormat="1" ht="13.5" customHeight="1" thickBot="1" x14ac:dyDescent="0.25">
      <c r="A82" s="103"/>
      <c r="B82" s="104" t="s">
        <v>328</v>
      </c>
      <c r="C82" s="281">
        <f t="shared" si="16"/>
        <v>300300</v>
      </c>
      <c r="D82" s="280">
        <f>SUM('prog-6'!D368)</f>
        <v>285300</v>
      </c>
      <c r="E82" s="418">
        <f>SUM('prog-6'!E368)</f>
        <v>193700</v>
      </c>
      <c r="F82" s="280">
        <f>SUM('prog-6'!F368)</f>
        <v>15000</v>
      </c>
      <c r="G82" s="306">
        <f t="shared" ref="G82:G130" si="66">H82+J82</f>
        <v>553140</v>
      </c>
      <c r="H82" s="280">
        <f>SUM('prog-6'!H368)</f>
        <v>553140</v>
      </c>
      <c r="I82" s="418">
        <f>SUM('prog-6'!I368)</f>
        <v>525826</v>
      </c>
      <c r="J82" s="280">
        <f>SUM('prog-6'!J368)</f>
        <v>0</v>
      </c>
      <c r="K82" s="281">
        <f t="shared" si="59"/>
        <v>13000</v>
      </c>
      <c r="L82" s="280">
        <f>SUM('prog-6'!L368)</f>
        <v>13000</v>
      </c>
      <c r="M82" s="280">
        <f>SUM('prog-6'!M368)</f>
        <v>0</v>
      </c>
      <c r="N82" s="280">
        <f>SUM('prog-6'!N368)</f>
        <v>0</v>
      </c>
      <c r="O82" s="281">
        <f t="shared" ref="O82:O130" si="67">P82+R82</f>
        <v>0</v>
      </c>
      <c r="P82" s="280">
        <f>SUM('prog-6'!P368)</f>
        <v>0</v>
      </c>
      <c r="Q82" s="280">
        <f>SUM('prog-6'!Q368)</f>
        <v>0</v>
      </c>
      <c r="R82" s="280">
        <f>SUM('prog-6'!R368)</f>
        <v>0</v>
      </c>
      <c r="S82" s="281">
        <f t="shared" ref="S82" si="68">T82+V82</f>
        <v>866440</v>
      </c>
      <c r="T82" s="280">
        <f t="shared" si="63"/>
        <v>851440</v>
      </c>
      <c r="U82" s="280">
        <f>E82+I82+M82+Q82</f>
        <v>719526</v>
      </c>
      <c r="V82" s="292">
        <f t="shared" si="64"/>
        <v>15000</v>
      </c>
    </row>
    <row r="83" spans="1:23" s="81" customFormat="1" ht="13.5" customHeight="1" thickBot="1" x14ac:dyDescent="0.25">
      <c r="A83" s="96" t="s">
        <v>247</v>
      </c>
      <c r="B83" s="101" t="s">
        <v>376</v>
      </c>
      <c r="C83" s="276">
        <f t="shared" si="16"/>
        <v>169800</v>
      </c>
      <c r="D83" s="277">
        <f>SUM(D84:D85)</f>
        <v>169800</v>
      </c>
      <c r="E83" s="415">
        <f>SUM(E84:E85)</f>
        <v>83100</v>
      </c>
      <c r="F83" s="293">
        <f>SUM(F84:F85)</f>
        <v>0</v>
      </c>
      <c r="G83" s="305">
        <f t="shared" si="66"/>
        <v>463970</v>
      </c>
      <c r="H83" s="303">
        <f>SUM(H84:H85)</f>
        <v>463970</v>
      </c>
      <c r="I83" s="427">
        <f>SUM(I84:I85)</f>
        <v>422952</v>
      </c>
      <c r="J83" s="304">
        <f>SUM(J84:J85)</f>
        <v>0</v>
      </c>
      <c r="K83" s="276">
        <f t="shared" si="59"/>
        <v>5641.01</v>
      </c>
      <c r="L83" s="303">
        <f>SUM(L84:L85)</f>
        <v>5641.01</v>
      </c>
      <c r="M83" s="303">
        <f>SUM(M84:M85)</f>
        <v>0</v>
      </c>
      <c r="N83" s="304">
        <f>SUM(N84:N85)</f>
        <v>0</v>
      </c>
      <c r="O83" s="276">
        <f t="shared" si="67"/>
        <v>0</v>
      </c>
      <c r="P83" s="303">
        <f>SUM(P84:P85)</f>
        <v>0</v>
      </c>
      <c r="Q83" s="304"/>
      <c r="R83" s="304">
        <f>SUM(R84:R85)</f>
        <v>0</v>
      </c>
      <c r="S83" s="276">
        <f>T83+V83</f>
        <v>639411.01</v>
      </c>
      <c r="T83" s="277">
        <f t="shared" si="63"/>
        <v>639411.01</v>
      </c>
      <c r="U83" s="277">
        <f>E83+I83+M83+Q83</f>
        <v>506052</v>
      </c>
      <c r="V83" s="290">
        <f t="shared" si="64"/>
        <v>0</v>
      </c>
    </row>
    <row r="84" spans="1:23" s="81" customFormat="1" ht="13.5" customHeight="1" x14ac:dyDescent="0.2">
      <c r="A84" s="84"/>
      <c r="B84" s="102" t="s">
        <v>326</v>
      </c>
      <c r="C84" s="185">
        <f t="shared" si="16"/>
        <v>2100</v>
      </c>
      <c r="D84" s="186">
        <f>SUM('prog-6'!D282)</f>
        <v>2100</v>
      </c>
      <c r="E84" s="419">
        <f>SUM('prog-6'!E282)</f>
        <v>0</v>
      </c>
      <c r="F84" s="186">
        <f>SUM('prog-6'!F282)</f>
        <v>0</v>
      </c>
      <c r="G84" s="191">
        <f t="shared" si="66"/>
        <v>25600</v>
      </c>
      <c r="H84" s="186">
        <f>SUM('prog-6'!H282)</f>
        <v>25600</v>
      </c>
      <c r="I84" s="419">
        <f>SUM('prog-6'!I282)</f>
        <v>700</v>
      </c>
      <c r="J84" s="186">
        <f>SUM('prog-6'!J282)</f>
        <v>0</v>
      </c>
      <c r="K84" s="185">
        <f t="shared" si="59"/>
        <v>0</v>
      </c>
      <c r="L84" s="186">
        <f>SUM('prog-6'!L282)</f>
        <v>0</v>
      </c>
      <c r="M84" s="186">
        <f>SUM('prog-6'!M282)</f>
        <v>0</v>
      </c>
      <c r="N84" s="186">
        <f>SUM('prog-6'!N282)</f>
        <v>0</v>
      </c>
      <c r="O84" s="185">
        <f t="shared" si="67"/>
        <v>0</v>
      </c>
      <c r="P84" s="186">
        <f>SUM('prog-6'!P282)</f>
        <v>0</v>
      </c>
      <c r="Q84" s="186">
        <f>SUM('prog-6'!Q282)</f>
        <v>0</v>
      </c>
      <c r="R84" s="186">
        <f>SUM('prog-6'!R282)</f>
        <v>0</v>
      </c>
      <c r="S84" s="287">
        <f>T84+V84</f>
        <v>27700</v>
      </c>
      <c r="T84" s="288">
        <f t="shared" si="63"/>
        <v>27700</v>
      </c>
      <c r="U84" s="288">
        <f>E84+I84+M84</f>
        <v>700</v>
      </c>
      <c r="V84" s="289">
        <f t="shared" si="64"/>
        <v>0</v>
      </c>
    </row>
    <row r="85" spans="1:23" s="81" customFormat="1" ht="13.5" customHeight="1" thickBot="1" x14ac:dyDescent="0.25">
      <c r="A85" s="98"/>
      <c r="B85" s="104" t="s">
        <v>328</v>
      </c>
      <c r="C85" s="281">
        <f t="shared" si="16"/>
        <v>167700</v>
      </c>
      <c r="D85" s="280">
        <f>SUM('prog-6'!D375)</f>
        <v>167700</v>
      </c>
      <c r="E85" s="418">
        <f>SUM('prog-6'!E375)</f>
        <v>83100</v>
      </c>
      <c r="F85" s="280">
        <f>SUM('prog-6'!F375)</f>
        <v>0</v>
      </c>
      <c r="G85" s="306">
        <f t="shared" si="66"/>
        <v>438370</v>
      </c>
      <c r="H85" s="280">
        <f>SUM('prog-6'!H375)</f>
        <v>438370</v>
      </c>
      <c r="I85" s="418">
        <f>SUM('prog-6'!I375)</f>
        <v>422252</v>
      </c>
      <c r="J85" s="280">
        <f>SUM('prog-6'!J375)</f>
        <v>0</v>
      </c>
      <c r="K85" s="281">
        <f t="shared" si="59"/>
        <v>5641.01</v>
      </c>
      <c r="L85" s="280">
        <f>SUM('prog-6'!L375)</f>
        <v>5641.01</v>
      </c>
      <c r="M85" s="280">
        <f>SUM('prog-6'!M375)</f>
        <v>0</v>
      </c>
      <c r="N85" s="280">
        <f>SUM('prog-6'!N375)</f>
        <v>0</v>
      </c>
      <c r="O85" s="281">
        <f t="shared" si="67"/>
        <v>0</v>
      </c>
      <c r="P85" s="280">
        <f>SUM('prog-6'!P375)</f>
        <v>0</v>
      </c>
      <c r="Q85" s="280">
        <f>SUM('prog-6'!Q375)</f>
        <v>0</v>
      </c>
      <c r="R85" s="280">
        <f>SUM('prog-6'!R375)</f>
        <v>0</v>
      </c>
      <c r="S85" s="281">
        <f t="shared" ref="S85" si="69">T85+V85</f>
        <v>611711.01</v>
      </c>
      <c r="T85" s="280">
        <f t="shared" si="63"/>
        <v>611711.01</v>
      </c>
      <c r="U85" s="280">
        <f>E85+I85+M85+Q85</f>
        <v>505352</v>
      </c>
      <c r="V85" s="292">
        <f t="shared" si="64"/>
        <v>0</v>
      </c>
    </row>
    <row r="86" spans="1:23" s="81" customFormat="1" ht="25.5" customHeight="1" thickBot="1" x14ac:dyDescent="0.25">
      <c r="A86" s="96" t="s">
        <v>248</v>
      </c>
      <c r="B86" s="101" t="s">
        <v>370</v>
      </c>
      <c r="C86" s="276">
        <f t="shared" si="16"/>
        <v>125500</v>
      </c>
      <c r="D86" s="277">
        <f>SUM(D87:D88)</f>
        <v>125500</v>
      </c>
      <c r="E86" s="415">
        <f>SUM(E87:E88)</f>
        <v>62800</v>
      </c>
      <c r="F86" s="293">
        <f>SUM(F87:F88)</f>
        <v>0</v>
      </c>
      <c r="G86" s="305">
        <f t="shared" si="66"/>
        <v>267420</v>
      </c>
      <c r="H86" s="303">
        <f>SUM(H87:H88)</f>
        <v>267420</v>
      </c>
      <c r="I86" s="427">
        <f>SUM(I87:I88)</f>
        <v>246026</v>
      </c>
      <c r="J86" s="304">
        <f>SUM(J87:J88)</f>
        <v>0</v>
      </c>
      <c r="K86" s="276">
        <f t="shared" si="59"/>
        <v>3700</v>
      </c>
      <c r="L86" s="303">
        <f>SUM(L87:L88)</f>
        <v>3700</v>
      </c>
      <c r="M86" s="303">
        <f>SUM(M87:M88)</f>
        <v>0</v>
      </c>
      <c r="N86" s="304">
        <f>SUM(N87:N88)</f>
        <v>0</v>
      </c>
      <c r="O86" s="276">
        <f t="shared" si="67"/>
        <v>0</v>
      </c>
      <c r="P86" s="303">
        <f>SUM(P87:P88)</f>
        <v>0</v>
      </c>
      <c r="Q86" s="304"/>
      <c r="R86" s="304">
        <f>SUM(R87:R88)</f>
        <v>0</v>
      </c>
      <c r="S86" s="276">
        <f>T86+V86</f>
        <v>396620</v>
      </c>
      <c r="T86" s="277">
        <f t="shared" si="63"/>
        <v>396620</v>
      </c>
      <c r="U86" s="277">
        <f>E86+I86+M86+Q86</f>
        <v>308826</v>
      </c>
      <c r="V86" s="290">
        <f t="shared" si="64"/>
        <v>0</v>
      </c>
    </row>
    <row r="87" spans="1:23" s="81" customFormat="1" ht="13.5" customHeight="1" x14ac:dyDescent="0.2">
      <c r="A87" s="84"/>
      <c r="B87" s="102" t="s">
        <v>326</v>
      </c>
      <c r="C87" s="185">
        <f t="shared" si="16"/>
        <v>1100</v>
      </c>
      <c r="D87" s="186">
        <f>SUM('prog-6'!D283)</f>
        <v>1100</v>
      </c>
      <c r="E87" s="419">
        <f>SUM('prog-6'!E283)</f>
        <v>0</v>
      </c>
      <c r="F87" s="186">
        <f>SUM('prog-6'!F283)</f>
        <v>0</v>
      </c>
      <c r="G87" s="191">
        <f t="shared" si="66"/>
        <v>13200</v>
      </c>
      <c r="H87" s="186">
        <f>SUM('prog-6'!H283)</f>
        <v>13200</v>
      </c>
      <c r="I87" s="419">
        <f>SUM('prog-6'!I283)</f>
        <v>400</v>
      </c>
      <c r="J87" s="186">
        <f>SUM('prog-6'!J283)</f>
        <v>0</v>
      </c>
      <c r="K87" s="185">
        <f t="shared" si="59"/>
        <v>0</v>
      </c>
      <c r="L87" s="186">
        <f>SUM('prog-6'!L283)</f>
        <v>0</v>
      </c>
      <c r="M87" s="186">
        <f>SUM('prog-6'!M283)</f>
        <v>0</v>
      </c>
      <c r="N87" s="186">
        <f>SUM('prog-6'!N283)</f>
        <v>0</v>
      </c>
      <c r="O87" s="185">
        <f t="shared" si="67"/>
        <v>0</v>
      </c>
      <c r="P87" s="186">
        <f>SUM('prog-6'!P283)</f>
        <v>0</v>
      </c>
      <c r="Q87" s="186">
        <f>SUM('prog-6'!Q283)</f>
        <v>0</v>
      </c>
      <c r="R87" s="186">
        <f>SUM('prog-6'!R283)</f>
        <v>0</v>
      </c>
      <c r="S87" s="287">
        <f>T87+V87</f>
        <v>14300</v>
      </c>
      <c r="T87" s="288">
        <f t="shared" si="63"/>
        <v>14300</v>
      </c>
      <c r="U87" s="288">
        <f>E87+I87+M87</f>
        <v>400</v>
      </c>
      <c r="V87" s="289">
        <f t="shared" si="64"/>
        <v>0</v>
      </c>
    </row>
    <row r="88" spans="1:23" s="81" customFormat="1" ht="13.5" customHeight="1" thickBot="1" x14ac:dyDescent="0.25">
      <c r="A88" s="98"/>
      <c r="B88" s="104" t="s">
        <v>328</v>
      </c>
      <c r="C88" s="281">
        <f t="shared" si="16"/>
        <v>124400</v>
      </c>
      <c r="D88" s="280">
        <f>SUM('prog-6'!D384)</f>
        <v>124400</v>
      </c>
      <c r="E88" s="418">
        <f>SUM('prog-6'!E384)</f>
        <v>62800</v>
      </c>
      <c r="F88" s="280">
        <f>SUM('prog-6'!F384)</f>
        <v>0</v>
      </c>
      <c r="G88" s="306">
        <f t="shared" si="66"/>
        <v>254220</v>
      </c>
      <c r="H88" s="280">
        <f>SUM('prog-6'!H384)</f>
        <v>254220</v>
      </c>
      <c r="I88" s="418">
        <f>SUM('prog-6'!I384)</f>
        <v>245626</v>
      </c>
      <c r="J88" s="280">
        <f>SUM('prog-6'!J384)</f>
        <v>0</v>
      </c>
      <c r="K88" s="281">
        <f t="shared" si="59"/>
        <v>3700</v>
      </c>
      <c r="L88" s="280">
        <f>SUM('prog-6'!L384)</f>
        <v>3700</v>
      </c>
      <c r="M88" s="280">
        <f>SUM('prog-6'!M384)</f>
        <v>0</v>
      </c>
      <c r="N88" s="280">
        <f>SUM('prog-6'!N384)</f>
        <v>0</v>
      </c>
      <c r="O88" s="281">
        <f t="shared" si="67"/>
        <v>0</v>
      </c>
      <c r="P88" s="280">
        <f>SUM('prog-6'!P384)</f>
        <v>0</v>
      </c>
      <c r="Q88" s="280">
        <f>SUM('prog-6'!Q384)</f>
        <v>0</v>
      </c>
      <c r="R88" s="280">
        <f>SUM('prog-6'!R384)</f>
        <v>0</v>
      </c>
      <c r="S88" s="281">
        <f t="shared" ref="S88" si="70">T88+V88</f>
        <v>382320</v>
      </c>
      <c r="T88" s="280">
        <f t="shared" si="63"/>
        <v>382320</v>
      </c>
      <c r="U88" s="280">
        <f>E88+I88+M88+Q88</f>
        <v>308426</v>
      </c>
      <c r="V88" s="292">
        <f t="shared" si="64"/>
        <v>0</v>
      </c>
    </row>
    <row r="89" spans="1:23" s="81" customFormat="1" ht="13.5" customHeight="1" thickBot="1" x14ac:dyDescent="0.25">
      <c r="A89" s="100" t="s">
        <v>249</v>
      </c>
      <c r="B89" s="101" t="s">
        <v>483</v>
      </c>
      <c r="C89" s="276">
        <f t="shared" si="16"/>
        <v>112900</v>
      </c>
      <c r="D89" s="277">
        <f>SUM(D90)</f>
        <v>112900</v>
      </c>
      <c r="E89" s="415">
        <f>SUM(E90)</f>
        <v>103200</v>
      </c>
      <c r="F89" s="277">
        <f>SUM(F90)</f>
        <v>0</v>
      </c>
      <c r="G89" s="305">
        <f t="shared" si="66"/>
        <v>90400</v>
      </c>
      <c r="H89" s="303">
        <f>SUM(H90)</f>
        <v>90400</v>
      </c>
      <c r="I89" s="427">
        <f>SUM(I90)</f>
        <v>88100</v>
      </c>
      <c r="J89" s="304">
        <f>SUM(J90)</f>
        <v>0</v>
      </c>
      <c r="K89" s="276">
        <f t="shared" si="59"/>
        <v>2000</v>
      </c>
      <c r="L89" s="303">
        <f>SUM(L90)</f>
        <v>2000</v>
      </c>
      <c r="M89" s="303">
        <f>SUM(M90)</f>
        <v>0</v>
      </c>
      <c r="N89" s="304">
        <f>SUM(N90)</f>
        <v>0</v>
      </c>
      <c r="O89" s="276">
        <f t="shared" si="67"/>
        <v>0</v>
      </c>
      <c r="P89" s="303">
        <f>P90</f>
        <v>0</v>
      </c>
      <c r="Q89" s="303"/>
      <c r="R89" s="303">
        <f>R90</f>
        <v>0</v>
      </c>
      <c r="S89" s="276">
        <f>T89+V89</f>
        <v>205300</v>
      </c>
      <c r="T89" s="277">
        <f t="shared" si="63"/>
        <v>205300</v>
      </c>
      <c r="U89" s="277">
        <f>E89+I89+M89+Q89</f>
        <v>191300</v>
      </c>
      <c r="V89" s="290">
        <f t="shared" si="64"/>
        <v>0</v>
      </c>
    </row>
    <row r="90" spans="1:23" s="81" customFormat="1" ht="13.5" customHeight="1" thickBot="1" x14ac:dyDescent="0.25">
      <c r="A90" s="103"/>
      <c r="B90" s="106" t="s">
        <v>328</v>
      </c>
      <c r="C90" s="281">
        <f t="shared" si="16"/>
        <v>112900</v>
      </c>
      <c r="D90" s="280">
        <f>SUM('prog-6'!D391)</f>
        <v>112900</v>
      </c>
      <c r="E90" s="418">
        <f>SUM('prog-6'!E391)</f>
        <v>103200</v>
      </c>
      <c r="F90" s="280">
        <f>SUM('prog-6'!F391)</f>
        <v>0</v>
      </c>
      <c r="G90" s="306">
        <f t="shared" si="66"/>
        <v>90400</v>
      </c>
      <c r="H90" s="280">
        <f>SUM('prog-6'!H391)</f>
        <v>90400</v>
      </c>
      <c r="I90" s="418">
        <f>SUM('prog-6'!I391)</f>
        <v>88100</v>
      </c>
      <c r="J90" s="280">
        <f>SUM('prog-6'!J391)</f>
        <v>0</v>
      </c>
      <c r="K90" s="281">
        <f t="shared" si="59"/>
        <v>2000</v>
      </c>
      <c r="L90" s="280">
        <f>SUM('prog-6'!L391)</f>
        <v>2000</v>
      </c>
      <c r="M90" s="280">
        <f>SUM('prog-6'!M391)</f>
        <v>0</v>
      </c>
      <c r="N90" s="280">
        <f>SUM('prog-6'!N391)</f>
        <v>0</v>
      </c>
      <c r="O90" s="281">
        <f t="shared" si="67"/>
        <v>0</v>
      </c>
      <c r="P90" s="280">
        <f>SUM('prog-6'!P391)</f>
        <v>0</v>
      </c>
      <c r="Q90" s="280">
        <f>SUM('prog-6'!Q391)</f>
        <v>0</v>
      </c>
      <c r="R90" s="280">
        <f>SUM('prog-6'!R391)</f>
        <v>0</v>
      </c>
      <c r="S90" s="287">
        <f>T90+V90</f>
        <v>205300</v>
      </c>
      <c r="T90" s="288">
        <f t="shared" si="63"/>
        <v>205300</v>
      </c>
      <c r="U90" s="288">
        <f>E90+I90+M90</f>
        <v>191300</v>
      </c>
      <c r="V90" s="289">
        <f t="shared" si="64"/>
        <v>0</v>
      </c>
    </row>
    <row r="91" spans="1:23" ht="13.5" customHeight="1" thickBot="1" x14ac:dyDescent="0.25">
      <c r="A91" s="96" t="s">
        <v>250</v>
      </c>
      <c r="B91" s="101" t="s">
        <v>251</v>
      </c>
      <c r="C91" s="276">
        <f t="shared" si="16"/>
        <v>220300</v>
      </c>
      <c r="D91" s="277">
        <f>SUM(D92:D94)</f>
        <v>220300</v>
      </c>
      <c r="E91" s="415">
        <f t="shared" ref="E91:F91" si="71">SUM(E92:E94)</f>
        <v>146000</v>
      </c>
      <c r="F91" s="277">
        <f t="shared" si="71"/>
        <v>0</v>
      </c>
      <c r="G91" s="305">
        <f t="shared" si="66"/>
        <v>773031.54</v>
      </c>
      <c r="H91" s="277">
        <f>SUM(H92:H94)</f>
        <v>701735.64</v>
      </c>
      <c r="I91" s="415">
        <f t="shared" ref="I91" si="72">SUM(I92:I94)</f>
        <v>616087</v>
      </c>
      <c r="J91" s="277">
        <f t="shared" ref="J91" si="73">SUM(J92:J94)</f>
        <v>71295.899999999994</v>
      </c>
      <c r="K91" s="276">
        <f>L91+N91</f>
        <v>6000</v>
      </c>
      <c r="L91" s="277">
        <f>SUM(L92:L94)</f>
        <v>6000</v>
      </c>
      <c r="M91" s="277">
        <f t="shared" ref="M91" si="74">SUM(M92:M94)</f>
        <v>0</v>
      </c>
      <c r="N91" s="277">
        <f t="shared" ref="N91" si="75">SUM(N92:N94)</f>
        <v>0</v>
      </c>
      <c r="O91" s="276">
        <f t="shared" si="67"/>
        <v>26400</v>
      </c>
      <c r="P91" s="277">
        <f>SUM(P92:P94)</f>
        <v>0</v>
      </c>
      <c r="Q91" s="277">
        <f t="shared" ref="Q91" si="76">SUM(Q92:Q94)</f>
        <v>0</v>
      </c>
      <c r="R91" s="277">
        <f t="shared" ref="R91" si="77">SUM(R92:R94)</f>
        <v>26400</v>
      </c>
      <c r="S91" s="276">
        <f>T91+V91</f>
        <v>1025731.54</v>
      </c>
      <c r="T91" s="277">
        <f t="shared" si="63"/>
        <v>928035.64</v>
      </c>
      <c r="U91" s="277">
        <f t="shared" ref="U91:V92" si="78">E91+I91+M91+Q91</f>
        <v>762087</v>
      </c>
      <c r="V91" s="290">
        <f t="shared" si="78"/>
        <v>97695.9</v>
      </c>
      <c r="W91" s="150"/>
    </row>
    <row r="92" spans="1:23" ht="13.5" customHeight="1" x14ac:dyDescent="0.2">
      <c r="A92" s="84"/>
      <c r="B92" s="102" t="s">
        <v>154</v>
      </c>
      <c r="C92" s="278">
        <f t="shared" si="16"/>
        <v>0</v>
      </c>
      <c r="D92" s="279">
        <f>SUM('prog-6'!D177)</f>
        <v>0</v>
      </c>
      <c r="E92" s="421">
        <f>SUM('prog-6'!E177)</f>
        <v>0</v>
      </c>
      <c r="F92" s="294">
        <f>SUM('prog-6'!F177)</f>
        <v>0</v>
      </c>
      <c r="G92" s="278">
        <f t="shared" ref="G92" si="79">H92+J92</f>
        <v>73041.539999999994</v>
      </c>
      <c r="H92" s="279">
        <f>SUM('prog-6'!H177)</f>
        <v>1745.64</v>
      </c>
      <c r="I92" s="421">
        <f>SUM('prog-6'!I177)</f>
        <v>0</v>
      </c>
      <c r="J92" s="279">
        <f>SUM('prog-6'!J177)</f>
        <v>71295.899999999994</v>
      </c>
      <c r="K92" s="278">
        <f t="shared" ref="K92" si="80">L92+N92</f>
        <v>0</v>
      </c>
      <c r="L92" s="279">
        <f>SUM('prog-6'!L177)</f>
        <v>0</v>
      </c>
      <c r="M92" s="279">
        <f>SUM('prog-6'!M177)</f>
        <v>0</v>
      </c>
      <c r="N92" s="279">
        <f>SUM('prog-6'!N177)</f>
        <v>0</v>
      </c>
      <c r="O92" s="278">
        <f t="shared" si="67"/>
        <v>26400</v>
      </c>
      <c r="P92" s="279">
        <f>SUM('prog-6'!P177)</f>
        <v>0</v>
      </c>
      <c r="Q92" s="279">
        <f>SUM('prog-6'!Q177)</f>
        <v>0</v>
      </c>
      <c r="R92" s="279">
        <f>SUM('prog-6'!R177)</f>
        <v>26400</v>
      </c>
      <c r="S92" s="278">
        <f t="shared" ref="S92" si="81">T92+V92</f>
        <v>99441.54</v>
      </c>
      <c r="T92" s="279">
        <f t="shared" si="63"/>
        <v>1745.64</v>
      </c>
      <c r="U92" s="279">
        <f t="shared" si="78"/>
        <v>0</v>
      </c>
      <c r="V92" s="294">
        <f t="shared" si="78"/>
        <v>97695.9</v>
      </c>
      <c r="W92" s="150"/>
    </row>
    <row r="93" spans="1:23" ht="13.5" customHeight="1" x14ac:dyDescent="0.2">
      <c r="A93" s="84"/>
      <c r="B93" s="102" t="s">
        <v>326</v>
      </c>
      <c r="C93" s="185">
        <f t="shared" si="16"/>
        <v>300</v>
      </c>
      <c r="D93" s="186">
        <f>SUM('prog-6'!D284)</f>
        <v>300</v>
      </c>
      <c r="E93" s="419">
        <f>SUM('prog-6'!E284)</f>
        <v>0</v>
      </c>
      <c r="F93" s="230">
        <f>SUM('prog-6'!F284)</f>
        <v>0</v>
      </c>
      <c r="G93" s="312">
        <f t="shared" si="66"/>
        <v>52200</v>
      </c>
      <c r="H93" s="186">
        <f>SUM('prog-6'!H284)</f>
        <v>52200</v>
      </c>
      <c r="I93" s="419">
        <f>SUM('prog-6'!I284)</f>
        <v>1500</v>
      </c>
      <c r="J93" s="186">
        <f>SUM('prog-6'!J284)</f>
        <v>0</v>
      </c>
      <c r="K93" s="185">
        <f t="shared" si="59"/>
        <v>0</v>
      </c>
      <c r="L93" s="186">
        <f>SUM('prog-6'!L284)</f>
        <v>0</v>
      </c>
      <c r="M93" s="186">
        <f>SUM('prog-6'!M284)</f>
        <v>0</v>
      </c>
      <c r="N93" s="222">
        <f>SUM('prog-6'!N284)</f>
        <v>0</v>
      </c>
      <c r="O93" s="291">
        <f t="shared" si="67"/>
        <v>0</v>
      </c>
      <c r="P93" s="186">
        <f>SUM('prog-6'!P284)</f>
        <v>0</v>
      </c>
      <c r="Q93" s="186">
        <f>SUM('prog-6'!Q284)</f>
        <v>0</v>
      </c>
      <c r="R93" s="230">
        <f>SUM('prog-6'!R284)</f>
        <v>0</v>
      </c>
      <c r="S93" s="221">
        <f t="shared" ref="S93:S129" si="82">T93+V93</f>
        <v>52500</v>
      </c>
      <c r="T93" s="186">
        <f t="shared" si="63"/>
        <v>52500</v>
      </c>
      <c r="U93" s="186">
        <f t="shared" ref="U93:U94" si="83">E93+I93+M93+Q93</f>
        <v>1500</v>
      </c>
      <c r="V93" s="300">
        <f t="shared" ref="V93:V94" si="84">F93+J93+N93+R93</f>
        <v>0</v>
      </c>
    </row>
    <row r="94" spans="1:23" ht="13.5" customHeight="1" thickBot="1" x14ac:dyDescent="0.25">
      <c r="A94" s="98"/>
      <c r="B94" s="104" t="s">
        <v>328</v>
      </c>
      <c r="C94" s="281">
        <f t="shared" si="16"/>
        <v>220000</v>
      </c>
      <c r="D94" s="280">
        <f>SUM('prog-6'!D395)</f>
        <v>220000</v>
      </c>
      <c r="E94" s="418">
        <f>SUM('prog-6'!E395)</f>
        <v>146000</v>
      </c>
      <c r="F94" s="299">
        <f>SUM('prog-6'!F395)</f>
        <v>0</v>
      </c>
      <c r="G94" s="313">
        <f t="shared" si="66"/>
        <v>647790</v>
      </c>
      <c r="H94" s="280">
        <f>SUM('prog-6'!H395)</f>
        <v>647790</v>
      </c>
      <c r="I94" s="418">
        <f>SUM('prog-6'!I395)</f>
        <v>614587</v>
      </c>
      <c r="J94" s="299">
        <f>SUM('prog-6'!J395)</f>
        <v>0</v>
      </c>
      <c r="K94" s="216">
        <f t="shared" si="59"/>
        <v>6000</v>
      </c>
      <c r="L94" s="280">
        <f>SUM('prog-6'!L395)</f>
        <v>6000</v>
      </c>
      <c r="M94" s="280">
        <f>SUM('prog-6'!M395)</f>
        <v>0</v>
      </c>
      <c r="N94" s="280">
        <f>SUM('prog-6'!N395)</f>
        <v>0</v>
      </c>
      <c r="O94" s="216">
        <f t="shared" si="67"/>
        <v>0</v>
      </c>
      <c r="P94" s="280">
        <f>SUM('prog-6'!P395)</f>
        <v>0</v>
      </c>
      <c r="Q94" s="280">
        <f>SUM('prog-6'!Q395)</f>
        <v>0</v>
      </c>
      <c r="R94" s="280">
        <f>SUM('prog-6'!R395)</f>
        <v>0</v>
      </c>
      <c r="S94" s="216">
        <f t="shared" si="82"/>
        <v>873790</v>
      </c>
      <c r="T94" s="280">
        <f t="shared" si="63"/>
        <v>873790</v>
      </c>
      <c r="U94" s="280">
        <f t="shared" si="83"/>
        <v>760587</v>
      </c>
      <c r="V94" s="292">
        <f t="shared" si="84"/>
        <v>0</v>
      </c>
      <c r="W94" s="150"/>
    </row>
    <row r="95" spans="1:23" ht="13.5" customHeight="1" thickBot="1" x14ac:dyDescent="0.25">
      <c r="A95" s="96" t="s">
        <v>252</v>
      </c>
      <c r="B95" s="107" t="s">
        <v>253</v>
      </c>
      <c r="C95" s="276">
        <f t="shared" si="16"/>
        <v>223600</v>
      </c>
      <c r="D95" s="277">
        <f>SUM(D96:D97)</f>
        <v>223600</v>
      </c>
      <c r="E95" s="415">
        <f>SUM(E96:E97)</f>
        <v>176700</v>
      </c>
      <c r="F95" s="277">
        <f>SUM(F96:F97)</f>
        <v>0</v>
      </c>
      <c r="G95" s="305">
        <f t="shared" si="66"/>
        <v>733520</v>
      </c>
      <c r="H95" s="303">
        <f>SUM(H96:H97)</f>
        <v>733520</v>
      </c>
      <c r="I95" s="427">
        <f>SUM(I96:I97)</f>
        <v>654567</v>
      </c>
      <c r="J95" s="304">
        <f>SUM(J96:J97)</f>
        <v>0</v>
      </c>
      <c r="K95" s="276">
        <f>L95+N95</f>
        <v>8500</v>
      </c>
      <c r="L95" s="303">
        <f>SUM(L96:L97)</f>
        <v>8500</v>
      </c>
      <c r="M95" s="303">
        <f>SUM(M96:M97)</f>
        <v>0</v>
      </c>
      <c r="N95" s="304">
        <f>SUM(N96:N97)</f>
        <v>0</v>
      </c>
      <c r="O95" s="276">
        <f t="shared" si="67"/>
        <v>89012.64</v>
      </c>
      <c r="P95" s="303">
        <f>SUM(P96:P97)</f>
        <v>0</v>
      </c>
      <c r="Q95" s="303"/>
      <c r="R95" s="303">
        <f>SUM(R96:R97)</f>
        <v>89012.64</v>
      </c>
      <c r="S95" s="276">
        <f>T95+V95</f>
        <v>1054632.6399999999</v>
      </c>
      <c r="T95" s="277">
        <f t="shared" si="63"/>
        <v>965620</v>
      </c>
      <c r="U95" s="277">
        <f>E95+I95+M95+Q95</f>
        <v>831267</v>
      </c>
      <c r="V95" s="290">
        <f>F95+J95+N95+R95</f>
        <v>89012.64</v>
      </c>
    </row>
    <row r="96" spans="1:23" ht="13.5" customHeight="1" x14ac:dyDescent="0.2">
      <c r="A96" s="84"/>
      <c r="B96" s="94" t="s">
        <v>326</v>
      </c>
      <c r="C96" s="291">
        <f t="shared" si="16"/>
        <v>3000</v>
      </c>
      <c r="D96" s="187">
        <f>SUM('prog-6'!D285)</f>
        <v>3000</v>
      </c>
      <c r="E96" s="417">
        <f>SUM('prog-6'!E285)</f>
        <v>0</v>
      </c>
      <c r="F96" s="187">
        <f>SUM('prog-6'!F285)</f>
        <v>0</v>
      </c>
      <c r="G96" s="239">
        <f t="shared" si="66"/>
        <v>50200</v>
      </c>
      <c r="H96" s="187">
        <f>SUM('prog-6'!H285)</f>
        <v>50200</v>
      </c>
      <c r="I96" s="417">
        <f>SUM('prog-6'!I285)</f>
        <v>1500</v>
      </c>
      <c r="J96" s="187">
        <f>SUM('prog-6'!J285)</f>
        <v>0</v>
      </c>
      <c r="K96" s="291">
        <f t="shared" si="59"/>
        <v>0</v>
      </c>
      <c r="L96" s="187">
        <f>SUM('prog-6'!L285)</f>
        <v>0</v>
      </c>
      <c r="M96" s="187">
        <f>SUM('prog-6'!M285)</f>
        <v>0</v>
      </c>
      <c r="N96" s="187">
        <f>SUM('prog-6'!N285)</f>
        <v>0</v>
      </c>
      <c r="O96" s="291">
        <f t="shared" si="67"/>
        <v>0</v>
      </c>
      <c r="P96" s="187">
        <f>SUM('prog-6'!P285)</f>
        <v>0</v>
      </c>
      <c r="Q96" s="187">
        <f>SUM('prog-6'!Q285)</f>
        <v>0</v>
      </c>
      <c r="R96" s="187">
        <f>SUM('prog-6'!R285)</f>
        <v>0</v>
      </c>
      <c r="S96" s="287">
        <f>T96+V96</f>
        <v>53200</v>
      </c>
      <c r="T96" s="288">
        <f t="shared" si="63"/>
        <v>53200</v>
      </c>
      <c r="U96" s="288">
        <f>E96+I96+M96</f>
        <v>1500</v>
      </c>
      <c r="V96" s="289">
        <f t="shared" ref="V96:V126" si="85">F96+J96+N96+R96</f>
        <v>0</v>
      </c>
    </row>
    <row r="97" spans="1:22" ht="13.5" customHeight="1" thickBot="1" x14ac:dyDescent="0.25">
      <c r="A97" s="98"/>
      <c r="B97" s="104" t="s">
        <v>328</v>
      </c>
      <c r="C97" s="281">
        <f t="shared" si="16"/>
        <v>220600</v>
      </c>
      <c r="D97" s="280">
        <f>SUM('prog-6'!D402)</f>
        <v>220600</v>
      </c>
      <c r="E97" s="418">
        <f>SUM('prog-6'!E402)</f>
        <v>176700</v>
      </c>
      <c r="F97" s="280">
        <f>SUM('prog-6'!F402)</f>
        <v>0</v>
      </c>
      <c r="G97" s="306">
        <f t="shared" si="66"/>
        <v>683320</v>
      </c>
      <c r="H97" s="280">
        <f>SUM('prog-6'!H402)</f>
        <v>683320</v>
      </c>
      <c r="I97" s="418">
        <f>SUM('prog-6'!I402)</f>
        <v>653067</v>
      </c>
      <c r="J97" s="280">
        <f>SUM('prog-6'!J402)</f>
        <v>0</v>
      </c>
      <c r="K97" s="281">
        <f t="shared" si="59"/>
        <v>8500</v>
      </c>
      <c r="L97" s="280">
        <f>SUM('prog-6'!L402)</f>
        <v>8500</v>
      </c>
      <c r="M97" s="280">
        <f>SUM('prog-6'!M402)</f>
        <v>0</v>
      </c>
      <c r="N97" s="280">
        <f>SUM('prog-6'!N402)</f>
        <v>0</v>
      </c>
      <c r="O97" s="281">
        <f t="shared" si="67"/>
        <v>89012.64</v>
      </c>
      <c r="P97" s="280">
        <f>SUM('prog-6'!P402)</f>
        <v>0</v>
      </c>
      <c r="Q97" s="280">
        <f>SUM('prog-6'!Q402)</f>
        <v>0</v>
      </c>
      <c r="R97" s="280">
        <f>SUM('prog-6'!R402)</f>
        <v>89012.64</v>
      </c>
      <c r="S97" s="281">
        <f t="shared" ref="S97" si="86">T97+V97</f>
        <v>1001432.64</v>
      </c>
      <c r="T97" s="280">
        <f t="shared" si="63"/>
        <v>912420</v>
      </c>
      <c r="U97" s="280">
        <f>E97+I97+M97+Q97</f>
        <v>829767</v>
      </c>
      <c r="V97" s="292">
        <f t="shared" si="85"/>
        <v>89012.64</v>
      </c>
    </row>
    <row r="98" spans="1:22" ht="13.5" customHeight="1" thickBot="1" x14ac:dyDescent="0.25">
      <c r="A98" s="96" t="s">
        <v>474</v>
      </c>
      <c r="B98" s="107" t="s">
        <v>255</v>
      </c>
      <c r="C98" s="276">
        <f t="shared" ref="C98:C144" si="87">D98+F98</f>
        <v>91100</v>
      </c>
      <c r="D98" s="277">
        <f>SUM(D99:D100)</f>
        <v>91100</v>
      </c>
      <c r="E98" s="415">
        <f>SUM(E99:E100)</f>
        <v>65500</v>
      </c>
      <c r="F98" s="293">
        <f>SUM(F99:F100)</f>
        <v>0</v>
      </c>
      <c r="G98" s="305">
        <f t="shared" si="66"/>
        <v>352210</v>
      </c>
      <c r="H98" s="303">
        <f>SUM(H99:H100)</f>
        <v>352210</v>
      </c>
      <c r="I98" s="427">
        <f>SUM(I99:I100)</f>
        <v>317564</v>
      </c>
      <c r="J98" s="304">
        <f>SUM(J99:J100)</f>
        <v>0</v>
      </c>
      <c r="K98" s="276">
        <f>L98+N98</f>
        <v>0</v>
      </c>
      <c r="L98" s="303">
        <f>SUM(L99:L100)</f>
        <v>0</v>
      </c>
      <c r="M98" s="303">
        <f>SUM(M99:M100)</f>
        <v>0</v>
      </c>
      <c r="N98" s="304">
        <f>SUM(N99:N100)</f>
        <v>0</v>
      </c>
      <c r="O98" s="276">
        <f t="shared" si="67"/>
        <v>0</v>
      </c>
      <c r="P98" s="303">
        <f>SUM(P99:P100)</f>
        <v>0</v>
      </c>
      <c r="Q98" s="304"/>
      <c r="R98" s="304">
        <f>SUM(R99:R100)</f>
        <v>0</v>
      </c>
      <c r="S98" s="276">
        <f>T98+V98</f>
        <v>443310</v>
      </c>
      <c r="T98" s="277">
        <f t="shared" si="63"/>
        <v>443310</v>
      </c>
      <c r="U98" s="277">
        <f>E98+I98+M98+Q98</f>
        <v>383064</v>
      </c>
      <c r="V98" s="290">
        <f t="shared" si="85"/>
        <v>0</v>
      </c>
    </row>
    <row r="99" spans="1:22" ht="13.5" customHeight="1" x14ac:dyDescent="0.2">
      <c r="A99" s="84"/>
      <c r="B99" s="102" t="s">
        <v>326</v>
      </c>
      <c r="C99" s="185">
        <f t="shared" si="87"/>
        <v>2700</v>
      </c>
      <c r="D99" s="186">
        <f>SUM('prog-6'!D286)</f>
        <v>2700</v>
      </c>
      <c r="E99" s="419">
        <f>SUM('prog-6'!E286)</f>
        <v>0</v>
      </c>
      <c r="F99" s="186">
        <f>SUM('prog-6'!F286)</f>
        <v>0</v>
      </c>
      <c r="G99" s="191">
        <f t="shared" si="66"/>
        <v>21700</v>
      </c>
      <c r="H99" s="186">
        <f>SUM('prog-6'!H286)</f>
        <v>21700</v>
      </c>
      <c r="I99" s="419">
        <f>SUM('prog-6'!I286)</f>
        <v>700</v>
      </c>
      <c r="J99" s="186">
        <f>SUM('prog-6'!J286)</f>
        <v>0</v>
      </c>
      <c r="K99" s="185">
        <f t="shared" si="59"/>
        <v>0</v>
      </c>
      <c r="L99" s="186">
        <f>SUM('prog-6'!L286)</f>
        <v>0</v>
      </c>
      <c r="M99" s="186">
        <f>SUM('prog-6'!M286)</f>
        <v>0</v>
      </c>
      <c r="N99" s="186">
        <f>SUM('prog-6'!N286)</f>
        <v>0</v>
      </c>
      <c r="O99" s="185">
        <f t="shared" si="67"/>
        <v>0</v>
      </c>
      <c r="P99" s="186">
        <f>SUM('prog-6'!P286)</f>
        <v>0</v>
      </c>
      <c r="Q99" s="186">
        <f>SUM('prog-6'!Q286)</f>
        <v>0</v>
      </c>
      <c r="R99" s="186">
        <f>SUM('prog-6'!R286)</f>
        <v>0</v>
      </c>
      <c r="S99" s="287">
        <f>T99+V99</f>
        <v>24400</v>
      </c>
      <c r="T99" s="288">
        <f t="shared" si="63"/>
        <v>24400</v>
      </c>
      <c r="U99" s="288">
        <f>E99+I99+M99</f>
        <v>700</v>
      </c>
      <c r="V99" s="289">
        <f t="shared" si="85"/>
        <v>0</v>
      </c>
    </row>
    <row r="100" spans="1:22" ht="13.5" customHeight="1" thickBot="1" x14ac:dyDescent="0.25">
      <c r="A100" s="98"/>
      <c r="B100" s="104" t="s">
        <v>328</v>
      </c>
      <c r="C100" s="281">
        <f t="shared" si="87"/>
        <v>88400</v>
      </c>
      <c r="D100" s="280">
        <f>SUM('prog-6'!D410)</f>
        <v>88400</v>
      </c>
      <c r="E100" s="418">
        <f>SUM('prog-6'!E410)</f>
        <v>65500</v>
      </c>
      <c r="F100" s="280">
        <f>SUM('prog-6'!F410)</f>
        <v>0</v>
      </c>
      <c r="G100" s="306">
        <f t="shared" si="66"/>
        <v>330510</v>
      </c>
      <c r="H100" s="280">
        <f>SUM('prog-6'!H410)</f>
        <v>330510</v>
      </c>
      <c r="I100" s="418">
        <f>SUM('prog-6'!I410)</f>
        <v>316864</v>
      </c>
      <c r="J100" s="280">
        <f>SUM('prog-6'!J410)</f>
        <v>0</v>
      </c>
      <c r="K100" s="281">
        <f t="shared" si="59"/>
        <v>0</v>
      </c>
      <c r="L100" s="280">
        <f>SUM('prog-6'!L410)</f>
        <v>0</v>
      </c>
      <c r="M100" s="280">
        <f>SUM('prog-6'!M410)</f>
        <v>0</v>
      </c>
      <c r="N100" s="280">
        <f>SUM('prog-6'!N410)</f>
        <v>0</v>
      </c>
      <c r="O100" s="281">
        <f t="shared" si="67"/>
        <v>0</v>
      </c>
      <c r="P100" s="280">
        <f>SUM('prog-6'!P410)</f>
        <v>0</v>
      </c>
      <c r="Q100" s="280">
        <f>SUM('prog-6'!Q410)</f>
        <v>0</v>
      </c>
      <c r="R100" s="280">
        <f>SUM('prog-6'!R410)</f>
        <v>0</v>
      </c>
      <c r="S100" s="281">
        <f t="shared" ref="S100" si="88">T100+V100</f>
        <v>418910</v>
      </c>
      <c r="T100" s="280">
        <f t="shared" si="63"/>
        <v>418910</v>
      </c>
      <c r="U100" s="280">
        <f>E100+I100+M100+Q100</f>
        <v>382364</v>
      </c>
      <c r="V100" s="292">
        <f t="shared" si="85"/>
        <v>0</v>
      </c>
    </row>
    <row r="101" spans="1:22" ht="13.5" customHeight="1" thickBot="1" x14ac:dyDescent="0.25">
      <c r="A101" s="96" t="s">
        <v>254</v>
      </c>
      <c r="B101" s="107" t="s">
        <v>257</v>
      </c>
      <c r="C101" s="276">
        <f t="shared" si="87"/>
        <v>133100</v>
      </c>
      <c r="D101" s="277">
        <f>SUM(D102:D103)</f>
        <v>133100</v>
      </c>
      <c r="E101" s="415">
        <f>SUM(E102:E103)</f>
        <v>85900</v>
      </c>
      <c r="F101" s="293">
        <f>SUM(F102:F103)</f>
        <v>0</v>
      </c>
      <c r="G101" s="305">
        <f t="shared" si="66"/>
        <v>323340</v>
      </c>
      <c r="H101" s="303">
        <f>SUM(H102:H103)</f>
        <v>323340</v>
      </c>
      <c r="I101" s="427">
        <f>SUM(I102:I103)</f>
        <v>295825</v>
      </c>
      <c r="J101" s="304">
        <f>SUM(J102:J103)</f>
        <v>0</v>
      </c>
      <c r="K101" s="276">
        <f>L101+N101</f>
        <v>4778.34</v>
      </c>
      <c r="L101" s="303">
        <f>SUM(L102:L103)</f>
        <v>4778.34</v>
      </c>
      <c r="M101" s="303">
        <f>SUM(M102:M103)</f>
        <v>0</v>
      </c>
      <c r="N101" s="304">
        <f>SUM(N102:N103)</f>
        <v>0</v>
      </c>
      <c r="O101" s="276">
        <f t="shared" si="67"/>
        <v>0</v>
      </c>
      <c r="P101" s="303">
        <f>SUM(P102:P103)</f>
        <v>0</v>
      </c>
      <c r="Q101" s="304"/>
      <c r="R101" s="304">
        <f>SUM(R102:R103)</f>
        <v>0</v>
      </c>
      <c r="S101" s="276">
        <f>T101+V101</f>
        <v>461218.34</v>
      </c>
      <c r="T101" s="277">
        <f t="shared" si="63"/>
        <v>461218.34</v>
      </c>
      <c r="U101" s="277">
        <f>E101+I101+M101+Q101</f>
        <v>381725</v>
      </c>
      <c r="V101" s="290">
        <f t="shared" si="85"/>
        <v>0</v>
      </c>
    </row>
    <row r="102" spans="1:22" ht="13.5" customHeight="1" x14ac:dyDescent="0.2">
      <c r="A102" s="84"/>
      <c r="B102" s="102" t="s">
        <v>326</v>
      </c>
      <c r="C102" s="185">
        <f t="shared" si="87"/>
        <v>2100</v>
      </c>
      <c r="D102" s="186">
        <f>SUM('prog-6'!D287)</f>
        <v>2100</v>
      </c>
      <c r="E102" s="419">
        <f>SUM('prog-6'!E287)</f>
        <v>0</v>
      </c>
      <c r="F102" s="186">
        <f>SUM('prog-6'!F287)</f>
        <v>0</v>
      </c>
      <c r="G102" s="191">
        <f t="shared" si="66"/>
        <v>17200</v>
      </c>
      <c r="H102" s="186">
        <f>SUM('prog-6'!H287)</f>
        <v>17200</v>
      </c>
      <c r="I102" s="419">
        <f>SUM('prog-6'!I287)</f>
        <v>500</v>
      </c>
      <c r="J102" s="186">
        <f>SUM('prog-6'!J287)</f>
        <v>0</v>
      </c>
      <c r="K102" s="185">
        <f t="shared" si="59"/>
        <v>0</v>
      </c>
      <c r="L102" s="186">
        <f>SUM('prog-6'!L287)</f>
        <v>0</v>
      </c>
      <c r="M102" s="186">
        <f>SUM('prog-6'!M287)</f>
        <v>0</v>
      </c>
      <c r="N102" s="186">
        <f>SUM('prog-6'!N287)</f>
        <v>0</v>
      </c>
      <c r="O102" s="185">
        <f t="shared" si="67"/>
        <v>0</v>
      </c>
      <c r="P102" s="186">
        <f>SUM('prog-6'!P287)</f>
        <v>0</v>
      </c>
      <c r="Q102" s="186">
        <f>SUM('prog-6'!Q287)</f>
        <v>0</v>
      </c>
      <c r="R102" s="186">
        <f>SUM('prog-6'!R287)</f>
        <v>0</v>
      </c>
      <c r="S102" s="287">
        <f>T102+V102</f>
        <v>19300</v>
      </c>
      <c r="T102" s="288">
        <f t="shared" si="63"/>
        <v>19300</v>
      </c>
      <c r="U102" s="288">
        <f>E102+I102+M102</f>
        <v>500</v>
      </c>
      <c r="V102" s="289">
        <f t="shared" si="85"/>
        <v>0</v>
      </c>
    </row>
    <row r="103" spans="1:22" ht="13.5" customHeight="1" thickBot="1" x14ac:dyDescent="0.25">
      <c r="A103" s="98"/>
      <c r="B103" s="104" t="s">
        <v>328</v>
      </c>
      <c r="C103" s="281">
        <f t="shared" si="87"/>
        <v>131000</v>
      </c>
      <c r="D103" s="280">
        <f>SUM('prog-6'!D416)</f>
        <v>131000</v>
      </c>
      <c r="E103" s="418">
        <f>SUM('prog-6'!E416)</f>
        <v>85900</v>
      </c>
      <c r="F103" s="280">
        <f>SUM('prog-6'!F416)</f>
        <v>0</v>
      </c>
      <c r="G103" s="306">
        <f t="shared" si="66"/>
        <v>306140</v>
      </c>
      <c r="H103" s="280">
        <f>SUM('prog-6'!H416)</f>
        <v>306140</v>
      </c>
      <c r="I103" s="418">
        <f>SUM('prog-6'!I416)</f>
        <v>295325</v>
      </c>
      <c r="J103" s="280">
        <f>SUM('prog-6'!J416)</f>
        <v>0</v>
      </c>
      <c r="K103" s="281">
        <f t="shared" si="59"/>
        <v>4778.34</v>
      </c>
      <c r="L103" s="280">
        <f>SUM('prog-6'!L416)</f>
        <v>4778.34</v>
      </c>
      <c r="M103" s="280">
        <f>SUM('prog-6'!M416)</f>
        <v>0</v>
      </c>
      <c r="N103" s="280">
        <f>SUM('prog-6'!N416)</f>
        <v>0</v>
      </c>
      <c r="O103" s="281">
        <f t="shared" si="67"/>
        <v>0</v>
      </c>
      <c r="P103" s="280">
        <f>SUM('prog-6'!P416)</f>
        <v>0</v>
      </c>
      <c r="Q103" s="280">
        <f>SUM('prog-6'!Q416)</f>
        <v>0</v>
      </c>
      <c r="R103" s="280">
        <f>SUM('prog-6'!R416)</f>
        <v>0</v>
      </c>
      <c r="S103" s="281">
        <f t="shared" ref="S103" si="89">T103+V103</f>
        <v>441918.34</v>
      </c>
      <c r="T103" s="280">
        <f t="shared" si="63"/>
        <v>441918.34</v>
      </c>
      <c r="U103" s="280">
        <f>E103+I103+M103+Q103</f>
        <v>381225</v>
      </c>
      <c r="V103" s="292">
        <f t="shared" si="85"/>
        <v>0</v>
      </c>
    </row>
    <row r="104" spans="1:22" ht="13.5" customHeight="1" thickBot="1" x14ac:dyDescent="0.25">
      <c r="A104" s="96" t="s">
        <v>256</v>
      </c>
      <c r="B104" s="107" t="s">
        <v>49</v>
      </c>
      <c r="C104" s="276">
        <f t="shared" si="87"/>
        <v>49200</v>
      </c>
      <c r="D104" s="277">
        <f>SUM(D105:D106)</f>
        <v>49200</v>
      </c>
      <c r="E104" s="415">
        <f>SUM(E105:E106)</f>
        <v>39900</v>
      </c>
      <c r="F104" s="277">
        <f>SUM(F105:F106)</f>
        <v>0</v>
      </c>
      <c r="G104" s="305">
        <f t="shared" si="66"/>
        <v>913900</v>
      </c>
      <c r="H104" s="277">
        <f>SUM(H105:H106)</f>
        <v>911800</v>
      </c>
      <c r="I104" s="415">
        <f>SUM(I105:I106)</f>
        <v>778800</v>
      </c>
      <c r="J104" s="277">
        <f>SUM(J105:J106)</f>
        <v>2100</v>
      </c>
      <c r="K104" s="276">
        <f>L104+N104</f>
        <v>21642.78</v>
      </c>
      <c r="L104" s="277">
        <f>SUM(L105:L106)</f>
        <v>21642.78</v>
      </c>
      <c r="M104" s="277">
        <f>SUM(M105:M106)</f>
        <v>0</v>
      </c>
      <c r="N104" s="277">
        <f>SUM(N105:N106)</f>
        <v>0</v>
      </c>
      <c r="O104" s="276">
        <f t="shared" si="67"/>
        <v>0</v>
      </c>
      <c r="P104" s="277">
        <f>SUM(P105:P106)</f>
        <v>0</v>
      </c>
      <c r="Q104" s="277">
        <f>SUM(Q105:Q106)</f>
        <v>0</v>
      </c>
      <c r="R104" s="277">
        <f>SUM(R105:R106)</f>
        <v>0</v>
      </c>
      <c r="S104" s="276">
        <f>T104+V104</f>
        <v>984742.78</v>
      </c>
      <c r="T104" s="277">
        <f t="shared" si="63"/>
        <v>982642.78</v>
      </c>
      <c r="U104" s="277">
        <f>E104+I104+M104+Q104</f>
        <v>818700</v>
      </c>
      <c r="V104" s="290">
        <f t="shared" si="85"/>
        <v>2100</v>
      </c>
    </row>
    <row r="105" spans="1:22" ht="13.5" customHeight="1" x14ac:dyDescent="0.2">
      <c r="A105" s="84"/>
      <c r="B105" s="102" t="s">
        <v>326</v>
      </c>
      <c r="C105" s="185">
        <f t="shared" si="87"/>
        <v>46800</v>
      </c>
      <c r="D105" s="186">
        <f>SUM('prog-6'!D288)</f>
        <v>46800</v>
      </c>
      <c r="E105" s="419">
        <f>SUM('prog-6'!E288)</f>
        <v>39000</v>
      </c>
      <c r="F105" s="186">
        <f>SUM('prog-6'!F288)</f>
        <v>0</v>
      </c>
      <c r="G105" s="191">
        <f t="shared" si="66"/>
        <v>102500</v>
      </c>
      <c r="H105" s="186">
        <f>SUM('prog-6'!H288)</f>
        <v>102500</v>
      </c>
      <c r="I105" s="419">
        <f>SUM('prog-6'!I288)</f>
        <v>90300</v>
      </c>
      <c r="J105" s="186">
        <f>SUM('prog-6'!J288)</f>
        <v>0</v>
      </c>
      <c r="K105" s="185">
        <f t="shared" si="59"/>
        <v>0</v>
      </c>
      <c r="L105" s="186">
        <f>SUM('prog-6'!L288)</f>
        <v>0</v>
      </c>
      <c r="M105" s="186">
        <f>SUM('prog-6'!M288)</f>
        <v>0</v>
      </c>
      <c r="N105" s="186">
        <f>SUM('prog-6'!N288)</f>
        <v>0</v>
      </c>
      <c r="O105" s="185">
        <f t="shared" si="67"/>
        <v>0</v>
      </c>
      <c r="P105" s="186">
        <f>SUM('prog-6'!P288)</f>
        <v>0</v>
      </c>
      <c r="Q105" s="186">
        <f>SUM('prog-6'!Q288)</f>
        <v>0</v>
      </c>
      <c r="R105" s="186">
        <f>SUM('prog-6'!R288)</f>
        <v>0</v>
      </c>
      <c r="S105" s="287">
        <f>T105+V105</f>
        <v>149300</v>
      </c>
      <c r="T105" s="288">
        <f t="shared" si="63"/>
        <v>149300</v>
      </c>
      <c r="U105" s="288">
        <f>E105+I105+M105</f>
        <v>129300</v>
      </c>
      <c r="V105" s="289">
        <f t="shared" si="85"/>
        <v>0</v>
      </c>
    </row>
    <row r="106" spans="1:22" ht="13.5" customHeight="1" thickBot="1" x14ac:dyDescent="0.25">
      <c r="A106" s="98"/>
      <c r="B106" s="104" t="s">
        <v>328</v>
      </c>
      <c r="C106" s="281">
        <f t="shared" si="87"/>
        <v>2400</v>
      </c>
      <c r="D106" s="280">
        <f>SUM('prog-6'!D424)</f>
        <v>2400</v>
      </c>
      <c r="E106" s="418">
        <f>SUM('prog-6'!E424)</f>
        <v>900</v>
      </c>
      <c r="F106" s="280">
        <f>SUM('prog-6'!F424)</f>
        <v>0</v>
      </c>
      <c r="G106" s="306">
        <f t="shared" si="66"/>
        <v>811400</v>
      </c>
      <c r="H106" s="280">
        <f>SUM('prog-6'!H424)</f>
        <v>809300</v>
      </c>
      <c r="I106" s="418">
        <f>SUM('prog-6'!I424)</f>
        <v>688500</v>
      </c>
      <c r="J106" s="280">
        <f>SUM('prog-6'!J424)</f>
        <v>2100</v>
      </c>
      <c r="K106" s="281">
        <f t="shared" si="59"/>
        <v>21642.78</v>
      </c>
      <c r="L106" s="280">
        <f>SUM('prog-6'!L424)</f>
        <v>21642.78</v>
      </c>
      <c r="M106" s="280">
        <f>SUM('prog-6'!M424)</f>
        <v>0</v>
      </c>
      <c r="N106" s="280">
        <f>SUM('prog-6'!N424)</f>
        <v>0</v>
      </c>
      <c r="O106" s="281">
        <f t="shared" si="67"/>
        <v>0</v>
      </c>
      <c r="P106" s="280">
        <f>SUM('prog-6'!P424)</f>
        <v>0</v>
      </c>
      <c r="Q106" s="280">
        <f>SUM('prog-6'!Q424)</f>
        <v>0</v>
      </c>
      <c r="R106" s="280">
        <f>SUM('prog-6'!R424)</f>
        <v>0</v>
      </c>
      <c r="S106" s="281">
        <f t="shared" ref="S106" si="90">T106+V106</f>
        <v>835442.78</v>
      </c>
      <c r="T106" s="280">
        <f t="shared" si="63"/>
        <v>833342.78</v>
      </c>
      <c r="U106" s="280">
        <f>E106+I106+M106+Q106</f>
        <v>689400</v>
      </c>
      <c r="V106" s="292">
        <f t="shared" si="85"/>
        <v>2100</v>
      </c>
    </row>
    <row r="107" spans="1:22" ht="24" customHeight="1" thickBot="1" x14ac:dyDescent="0.25">
      <c r="A107" s="96" t="s">
        <v>258</v>
      </c>
      <c r="B107" s="107" t="s">
        <v>262</v>
      </c>
      <c r="C107" s="276">
        <f t="shared" si="87"/>
        <v>91100</v>
      </c>
      <c r="D107" s="277">
        <f>SUM(D108:D109)</f>
        <v>91100</v>
      </c>
      <c r="E107" s="415">
        <f>SUM(E108:E109)</f>
        <v>76000</v>
      </c>
      <c r="F107" s="293">
        <f>SUM(F108:F109)</f>
        <v>0</v>
      </c>
      <c r="G107" s="305">
        <f t="shared" si="66"/>
        <v>119184</v>
      </c>
      <c r="H107" s="303">
        <f>SUM(H108:H109)</f>
        <v>119184</v>
      </c>
      <c r="I107" s="427">
        <f>SUM(I108:I109)</f>
        <v>108482</v>
      </c>
      <c r="J107" s="304">
        <f>SUM(J108:J109)</f>
        <v>0</v>
      </c>
      <c r="K107" s="276">
        <f>L107+N107</f>
        <v>6306.91</v>
      </c>
      <c r="L107" s="303">
        <f>SUM(L108:L109)</f>
        <v>6306.91</v>
      </c>
      <c r="M107" s="303">
        <f>SUM(M108:M109)</f>
        <v>0</v>
      </c>
      <c r="N107" s="304">
        <f>SUM(N108:N109)</f>
        <v>0</v>
      </c>
      <c r="O107" s="276">
        <f t="shared" si="67"/>
        <v>0</v>
      </c>
      <c r="P107" s="303">
        <f>SUM(P108:P109)</f>
        <v>0</v>
      </c>
      <c r="Q107" s="304"/>
      <c r="R107" s="304">
        <f>SUM(R108:R109)</f>
        <v>0</v>
      </c>
      <c r="S107" s="276">
        <f>T107+V107</f>
        <v>216590.91</v>
      </c>
      <c r="T107" s="277">
        <f t="shared" ref="T107:T127" si="91">D107+H107+L107+P107</f>
        <v>216590.91</v>
      </c>
      <c r="U107" s="277">
        <f>E107+I107+M107+Q107</f>
        <v>184482</v>
      </c>
      <c r="V107" s="290">
        <f t="shared" si="85"/>
        <v>0</v>
      </c>
    </row>
    <row r="108" spans="1:22" ht="14.25" customHeight="1" x14ac:dyDescent="0.2">
      <c r="A108" s="84"/>
      <c r="B108" s="102" t="s">
        <v>326</v>
      </c>
      <c r="C108" s="185">
        <f t="shared" si="87"/>
        <v>0</v>
      </c>
      <c r="D108" s="186">
        <f>SUM('prog-6'!D291)</f>
        <v>0</v>
      </c>
      <c r="E108" s="419">
        <f>SUM('prog-6'!E291)</f>
        <v>0</v>
      </c>
      <c r="F108" s="186">
        <f>SUM('prog-6'!F291)</f>
        <v>0</v>
      </c>
      <c r="G108" s="191">
        <f t="shared" si="66"/>
        <v>6500</v>
      </c>
      <c r="H108" s="186">
        <f>SUM('prog-6'!H291)</f>
        <v>6500</v>
      </c>
      <c r="I108" s="419">
        <f>SUM('prog-6'!I291)</f>
        <v>200</v>
      </c>
      <c r="J108" s="186">
        <f>SUM('prog-6'!J291)</f>
        <v>0</v>
      </c>
      <c r="K108" s="185">
        <f t="shared" si="59"/>
        <v>0</v>
      </c>
      <c r="L108" s="186">
        <f>SUM('prog-6'!L291)</f>
        <v>0</v>
      </c>
      <c r="M108" s="186">
        <f>SUM('prog-6'!M291)</f>
        <v>0</v>
      </c>
      <c r="N108" s="186">
        <f>SUM('prog-6'!N291)</f>
        <v>0</v>
      </c>
      <c r="O108" s="185">
        <f t="shared" si="67"/>
        <v>0</v>
      </c>
      <c r="P108" s="186">
        <f>SUM('prog-6'!P291)</f>
        <v>0</v>
      </c>
      <c r="Q108" s="186">
        <f>SUM('prog-6'!Q291)</f>
        <v>0</v>
      </c>
      <c r="R108" s="186">
        <f>SUM('prog-6'!R291)</f>
        <v>0</v>
      </c>
      <c r="S108" s="287">
        <f>T108+V108</f>
        <v>6500</v>
      </c>
      <c r="T108" s="288">
        <f t="shared" si="91"/>
        <v>6500</v>
      </c>
      <c r="U108" s="288">
        <f>E108+I108+M108</f>
        <v>200</v>
      </c>
      <c r="V108" s="289">
        <f t="shared" si="85"/>
        <v>0</v>
      </c>
    </row>
    <row r="109" spans="1:22" ht="14.25" customHeight="1" thickBot="1" x14ac:dyDescent="0.25">
      <c r="A109" s="98"/>
      <c r="B109" s="104" t="s">
        <v>328</v>
      </c>
      <c r="C109" s="281">
        <f t="shared" si="87"/>
        <v>91100</v>
      </c>
      <c r="D109" s="280">
        <f>SUM('prog-6'!D430)</f>
        <v>91100</v>
      </c>
      <c r="E109" s="418">
        <f>SUM('prog-6'!E430)</f>
        <v>76000</v>
      </c>
      <c r="F109" s="280">
        <f>SUM('prog-6'!F430)</f>
        <v>0</v>
      </c>
      <c r="G109" s="306">
        <f t="shared" si="66"/>
        <v>112684</v>
      </c>
      <c r="H109" s="280">
        <f>SUM('prog-6'!H430)</f>
        <v>112684</v>
      </c>
      <c r="I109" s="418">
        <f>SUM('prog-6'!I430)</f>
        <v>108282</v>
      </c>
      <c r="J109" s="280">
        <f>SUM('prog-6'!J430)</f>
        <v>0</v>
      </c>
      <c r="K109" s="281">
        <f t="shared" si="59"/>
        <v>6306.91</v>
      </c>
      <c r="L109" s="280">
        <f>SUM('prog-6'!L430)</f>
        <v>6306.91</v>
      </c>
      <c r="M109" s="280">
        <f>SUM('prog-6'!M430)</f>
        <v>0</v>
      </c>
      <c r="N109" s="280">
        <f>SUM('prog-6'!N430)</f>
        <v>0</v>
      </c>
      <c r="O109" s="281">
        <f t="shared" si="67"/>
        <v>0</v>
      </c>
      <c r="P109" s="280">
        <f>SUM('prog-6'!P430)</f>
        <v>0</v>
      </c>
      <c r="Q109" s="280">
        <f>SUM('prog-6'!Q430)</f>
        <v>0</v>
      </c>
      <c r="R109" s="280">
        <f>SUM('prog-6'!R430)</f>
        <v>0</v>
      </c>
      <c r="S109" s="281">
        <f t="shared" ref="S109" si="92">T109+V109</f>
        <v>210090.91</v>
      </c>
      <c r="T109" s="280">
        <f t="shared" si="91"/>
        <v>210090.91</v>
      </c>
      <c r="U109" s="280">
        <f>E109+I109+M109+Q109</f>
        <v>184282</v>
      </c>
      <c r="V109" s="292">
        <f t="shared" si="85"/>
        <v>0</v>
      </c>
    </row>
    <row r="110" spans="1:22" ht="13.5" customHeight="1" thickBot="1" x14ac:dyDescent="0.25">
      <c r="A110" s="96" t="s">
        <v>475</v>
      </c>
      <c r="B110" s="107" t="s">
        <v>264</v>
      </c>
      <c r="C110" s="276">
        <f t="shared" si="87"/>
        <v>457800</v>
      </c>
      <c r="D110" s="277">
        <f>SUM(D111:D112)</f>
        <v>457800</v>
      </c>
      <c r="E110" s="415">
        <f>SUM(E111:E112)</f>
        <v>392300</v>
      </c>
      <c r="F110" s="277">
        <f>SUM(F111:F112)</f>
        <v>0</v>
      </c>
      <c r="G110" s="305">
        <f t="shared" si="66"/>
        <v>422200</v>
      </c>
      <c r="H110" s="277">
        <f>SUM(H111:H112)</f>
        <v>422200</v>
      </c>
      <c r="I110" s="415">
        <f>SUM(I111:I112)</f>
        <v>380300</v>
      </c>
      <c r="J110" s="293">
        <f>SUM(J111:J112)</f>
        <v>0</v>
      </c>
      <c r="K110" s="276">
        <f>L110+N110</f>
        <v>73049.27</v>
      </c>
      <c r="L110" s="277">
        <f>SUM(L111:L112)</f>
        <v>73049.27</v>
      </c>
      <c r="M110" s="277">
        <f>SUM(M111:M112)</f>
        <v>0</v>
      </c>
      <c r="N110" s="293">
        <f>SUM(N111:N112)</f>
        <v>0</v>
      </c>
      <c r="O110" s="276">
        <f t="shared" si="67"/>
        <v>0</v>
      </c>
      <c r="P110" s="277">
        <f>SUM(P111:P112)</f>
        <v>0</v>
      </c>
      <c r="Q110" s="277">
        <f>SUM(Q111:Q112)</f>
        <v>0</v>
      </c>
      <c r="R110" s="293">
        <f>SUM(R111:R112)</f>
        <v>0</v>
      </c>
      <c r="S110" s="276">
        <f>T110+V110</f>
        <v>953049.27</v>
      </c>
      <c r="T110" s="277">
        <f t="shared" si="91"/>
        <v>953049.27</v>
      </c>
      <c r="U110" s="277">
        <f>E110+I110+M110+Q110</f>
        <v>772600</v>
      </c>
      <c r="V110" s="290">
        <f t="shared" si="85"/>
        <v>0</v>
      </c>
    </row>
    <row r="111" spans="1:22" ht="13.5" customHeight="1" x14ac:dyDescent="0.2">
      <c r="A111" s="84"/>
      <c r="B111" s="102" t="s">
        <v>326</v>
      </c>
      <c r="C111" s="185">
        <f t="shared" si="87"/>
        <v>0</v>
      </c>
      <c r="D111" s="186">
        <f>SUM('prog-6'!D292)</f>
        <v>0</v>
      </c>
      <c r="E111" s="419">
        <f>SUM('prog-6'!E292)</f>
        <v>0</v>
      </c>
      <c r="F111" s="186">
        <f>SUM('prog-6'!F292)</f>
        <v>0</v>
      </c>
      <c r="G111" s="191">
        <f t="shared" si="66"/>
        <v>11600</v>
      </c>
      <c r="H111" s="186">
        <f>SUM('prog-6'!H292)</f>
        <v>11600</v>
      </c>
      <c r="I111" s="419">
        <f>SUM('prog-6'!I292)</f>
        <v>300</v>
      </c>
      <c r="J111" s="186">
        <f>SUM('prog-6'!J292)</f>
        <v>0</v>
      </c>
      <c r="K111" s="185">
        <f t="shared" si="59"/>
        <v>0</v>
      </c>
      <c r="L111" s="186">
        <f>SUM('prog-6'!L292)</f>
        <v>0</v>
      </c>
      <c r="M111" s="186">
        <f>SUM('prog-6'!M292)</f>
        <v>0</v>
      </c>
      <c r="N111" s="186">
        <f>SUM('prog-6'!N292)</f>
        <v>0</v>
      </c>
      <c r="O111" s="185">
        <f t="shared" si="67"/>
        <v>0</v>
      </c>
      <c r="P111" s="186">
        <f>SUM('prog-6'!P292)</f>
        <v>0</v>
      </c>
      <c r="Q111" s="186">
        <f>SUM('prog-6'!Q292)</f>
        <v>0</v>
      </c>
      <c r="R111" s="186">
        <f>SUM('prog-6'!R292)</f>
        <v>0</v>
      </c>
      <c r="S111" s="287">
        <f>T111+V111</f>
        <v>11600</v>
      </c>
      <c r="T111" s="288">
        <f t="shared" si="91"/>
        <v>11600</v>
      </c>
      <c r="U111" s="288">
        <f>E111+I111+M111</f>
        <v>300</v>
      </c>
      <c r="V111" s="289">
        <f t="shared" si="85"/>
        <v>0</v>
      </c>
    </row>
    <row r="112" spans="1:22" ht="13.5" customHeight="1" thickBot="1" x14ac:dyDescent="0.25">
      <c r="A112" s="98"/>
      <c r="B112" s="104" t="s">
        <v>328</v>
      </c>
      <c r="C112" s="281">
        <f t="shared" si="87"/>
        <v>457800</v>
      </c>
      <c r="D112" s="280">
        <f>SUM('prog-6'!D437)</f>
        <v>457800</v>
      </c>
      <c r="E112" s="418">
        <f>SUM('prog-6'!E437)</f>
        <v>392300</v>
      </c>
      <c r="F112" s="280">
        <f>SUM('prog-6'!F437)</f>
        <v>0</v>
      </c>
      <c r="G112" s="306">
        <f t="shared" si="66"/>
        <v>410600</v>
      </c>
      <c r="H112" s="280">
        <f>SUM('prog-6'!H437)</f>
        <v>410600</v>
      </c>
      <c r="I112" s="418">
        <f>SUM('prog-6'!I437)</f>
        <v>380000</v>
      </c>
      <c r="J112" s="280">
        <f>SUM('prog-6'!J437)</f>
        <v>0</v>
      </c>
      <c r="K112" s="281">
        <f t="shared" si="59"/>
        <v>73049.27</v>
      </c>
      <c r="L112" s="280">
        <f>SUM('prog-6'!L437)</f>
        <v>73049.27</v>
      </c>
      <c r="M112" s="280">
        <f>SUM('prog-6'!M437)</f>
        <v>0</v>
      </c>
      <c r="N112" s="280">
        <f>SUM('prog-6'!N437)</f>
        <v>0</v>
      </c>
      <c r="O112" s="281">
        <f t="shared" si="67"/>
        <v>0</v>
      </c>
      <c r="P112" s="280">
        <f>SUM('prog-6'!P437)</f>
        <v>0</v>
      </c>
      <c r="Q112" s="280">
        <f>SUM('prog-6'!Q437)</f>
        <v>0</v>
      </c>
      <c r="R112" s="280">
        <f>SUM('prog-6'!R437)</f>
        <v>0</v>
      </c>
      <c r="S112" s="281">
        <f t="shared" ref="S112" si="93">T112+V112</f>
        <v>941449.27</v>
      </c>
      <c r="T112" s="280">
        <f t="shared" si="91"/>
        <v>941449.27</v>
      </c>
      <c r="U112" s="280">
        <f>E112+I112+M112+Q112</f>
        <v>772300</v>
      </c>
      <c r="V112" s="292">
        <f t="shared" si="85"/>
        <v>0</v>
      </c>
    </row>
    <row r="113" spans="1:23" ht="13.5" customHeight="1" thickBot="1" x14ac:dyDescent="0.25">
      <c r="A113" s="100" t="s">
        <v>259</v>
      </c>
      <c r="B113" s="107" t="s">
        <v>266</v>
      </c>
      <c r="C113" s="276">
        <f t="shared" si="87"/>
        <v>582600</v>
      </c>
      <c r="D113" s="277">
        <f>SUM(D114:D115)</f>
        <v>582600</v>
      </c>
      <c r="E113" s="415">
        <f>SUM(E114:E115)</f>
        <v>524400</v>
      </c>
      <c r="F113" s="293">
        <f>SUM(F114:F115)</f>
        <v>0</v>
      </c>
      <c r="G113" s="305">
        <f t="shared" si="66"/>
        <v>382000</v>
      </c>
      <c r="H113" s="303">
        <f>SUM(H114:H115)</f>
        <v>382000</v>
      </c>
      <c r="I113" s="427">
        <f>SUM(I114:I115)</f>
        <v>338400</v>
      </c>
      <c r="J113" s="303">
        <f>SUM(J114:J115)</f>
        <v>0</v>
      </c>
      <c r="K113" s="276">
        <f>L113+N113</f>
        <v>58746.49</v>
      </c>
      <c r="L113" s="303">
        <f>SUM(L114:L115)</f>
        <v>58746.49</v>
      </c>
      <c r="M113" s="303">
        <f>SUM(M114:M115)</f>
        <v>0</v>
      </c>
      <c r="N113" s="304">
        <f>SUM(N114:N115)</f>
        <v>0</v>
      </c>
      <c r="O113" s="276">
        <f t="shared" si="67"/>
        <v>0</v>
      </c>
      <c r="P113" s="303">
        <f>SUM(P114:P115)</f>
        <v>0</v>
      </c>
      <c r="Q113" s="304"/>
      <c r="R113" s="304">
        <f>SUM(R114:R115)</f>
        <v>0</v>
      </c>
      <c r="S113" s="276">
        <f>T113+V113</f>
        <v>1023346.49</v>
      </c>
      <c r="T113" s="277">
        <f t="shared" si="91"/>
        <v>1023346.49</v>
      </c>
      <c r="U113" s="277">
        <f>E113+I113+M113+Q113</f>
        <v>862800</v>
      </c>
      <c r="V113" s="290">
        <f t="shared" si="85"/>
        <v>0</v>
      </c>
    </row>
    <row r="114" spans="1:23" ht="13.5" customHeight="1" x14ac:dyDescent="0.2">
      <c r="A114" s="83"/>
      <c r="B114" s="102" t="s">
        <v>326</v>
      </c>
      <c r="C114" s="185">
        <f t="shared" si="87"/>
        <v>136500</v>
      </c>
      <c r="D114" s="186">
        <f>SUM('prog-6'!D293)</f>
        <v>136500</v>
      </c>
      <c r="E114" s="419">
        <f>SUM('prog-6'!E293)</f>
        <v>131400</v>
      </c>
      <c r="F114" s="186">
        <f>SUM('prog-6'!F293)</f>
        <v>0</v>
      </c>
      <c r="G114" s="191">
        <f t="shared" si="66"/>
        <v>34900</v>
      </c>
      <c r="H114" s="186">
        <f>SUM('prog-6'!H293)</f>
        <v>34900</v>
      </c>
      <c r="I114" s="419">
        <f>SUM('prog-6'!I293)</f>
        <v>8400</v>
      </c>
      <c r="J114" s="186">
        <f>SUM('prog-6'!J293)</f>
        <v>0</v>
      </c>
      <c r="K114" s="185">
        <f t="shared" si="59"/>
        <v>0</v>
      </c>
      <c r="L114" s="186">
        <f>SUM('prog-6'!L293)</f>
        <v>0</v>
      </c>
      <c r="M114" s="186">
        <f>SUM('prog-6'!M293)</f>
        <v>0</v>
      </c>
      <c r="N114" s="186">
        <f>SUM('prog-6'!N293)</f>
        <v>0</v>
      </c>
      <c r="O114" s="185">
        <f t="shared" si="67"/>
        <v>0</v>
      </c>
      <c r="P114" s="186">
        <f>SUM('prog-6'!P293)</f>
        <v>0</v>
      </c>
      <c r="Q114" s="186">
        <f>SUM('prog-6'!Q293)</f>
        <v>0</v>
      </c>
      <c r="R114" s="186">
        <f>SUM('prog-6'!R293)</f>
        <v>0</v>
      </c>
      <c r="S114" s="287">
        <f>T114+V114</f>
        <v>171400</v>
      </c>
      <c r="T114" s="288">
        <f t="shared" si="91"/>
        <v>171400</v>
      </c>
      <c r="U114" s="288">
        <f>E114+I114+M114</f>
        <v>139800</v>
      </c>
      <c r="V114" s="289">
        <f t="shared" si="85"/>
        <v>0</v>
      </c>
    </row>
    <row r="115" spans="1:23" ht="13.5" customHeight="1" thickBot="1" x14ac:dyDescent="0.25">
      <c r="A115" s="103"/>
      <c r="B115" s="104" t="s">
        <v>328</v>
      </c>
      <c r="C115" s="281">
        <f t="shared" si="87"/>
        <v>446100</v>
      </c>
      <c r="D115" s="186">
        <f>SUM('prog-6'!D442)</f>
        <v>446100</v>
      </c>
      <c r="E115" s="419">
        <f>SUM('prog-6'!E442)</f>
        <v>393000</v>
      </c>
      <c r="F115" s="186">
        <f>SUM('prog-6'!F442)</f>
        <v>0</v>
      </c>
      <c r="G115" s="306">
        <f t="shared" si="66"/>
        <v>347100</v>
      </c>
      <c r="H115" s="186">
        <f>SUM('prog-6'!H442)</f>
        <v>347100</v>
      </c>
      <c r="I115" s="419">
        <f>SUM('prog-6'!I442)</f>
        <v>330000</v>
      </c>
      <c r="J115" s="186">
        <f>SUM('prog-6'!J442)</f>
        <v>0</v>
      </c>
      <c r="K115" s="281">
        <f t="shared" si="59"/>
        <v>58746.49</v>
      </c>
      <c r="L115" s="186">
        <f>SUM('prog-6'!L442)</f>
        <v>58746.49</v>
      </c>
      <c r="M115" s="186">
        <f>SUM('prog-6'!M442)</f>
        <v>0</v>
      </c>
      <c r="N115" s="186">
        <f>SUM('prog-6'!N442)</f>
        <v>0</v>
      </c>
      <c r="O115" s="281">
        <f t="shared" si="67"/>
        <v>0</v>
      </c>
      <c r="P115" s="186">
        <f>SUM('prog-6'!P442)</f>
        <v>0</v>
      </c>
      <c r="Q115" s="186">
        <f>SUM('prog-6'!Q442)</f>
        <v>0</v>
      </c>
      <c r="R115" s="186">
        <f>SUM('prog-6'!R442)</f>
        <v>0</v>
      </c>
      <c r="S115" s="281">
        <f t="shared" ref="S115" si="94">T115+V115</f>
        <v>851946.49</v>
      </c>
      <c r="T115" s="280">
        <f t="shared" si="91"/>
        <v>851946.49</v>
      </c>
      <c r="U115" s="280">
        <f>E115+I115+M115+Q115</f>
        <v>723000</v>
      </c>
      <c r="V115" s="292">
        <f t="shared" si="85"/>
        <v>0</v>
      </c>
    </row>
    <row r="116" spans="1:23" ht="13.5" customHeight="1" thickBot="1" x14ac:dyDescent="0.25">
      <c r="A116" s="96" t="s">
        <v>260</v>
      </c>
      <c r="B116" s="107" t="s">
        <v>268</v>
      </c>
      <c r="C116" s="276">
        <f t="shared" si="87"/>
        <v>126200</v>
      </c>
      <c r="D116" s="277">
        <f>SUM(D117:D118)</f>
        <v>126200</v>
      </c>
      <c r="E116" s="415">
        <f>SUM(E117:E118)</f>
        <v>110000</v>
      </c>
      <c r="F116" s="277">
        <f>SUM(F117:F118)</f>
        <v>0</v>
      </c>
      <c r="G116" s="305">
        <f t="shared" si="66"/>
        <v>110600</v>
      </c>
      <c r="H116" s="303">
        <f>SUM(H117:H118)</f>
        <v>110600</v>
      </c>
      <c r="I116" s="427">
        <f>SUM(I117:I118)</f>
        <v>100600</v>
      </c>
      <c r="J116" s="304">
        <f>SUM(J117:J118)</f>
        <v>0</v>
      </c>
      <c r="K116" s="276">
        <f>L116+N116</f>
        <v>12900</v>
      </c>
      <c r="L116" s="303">
        <f>SUM(L117:L118)</f>
        <v>12900</v>
      </c>
      <c r="M116" s="303">
        <f>SUM(M117:M118)</f>
        <v>0</v>
      </c>
      <c r="N116" s="304">
        <f>SUM(N117:N118)</f>
        <v>0</v>
      </c>
      <c r="O116" s="276">
        <f t="shared" si="67"/>
        <v>0</v>
      </c>
      <c r="P116" s="303">
        <f>SUM(P117:P118)</f>
        <v>0</v>
      </c>
      <c r="Q116" s="303"/>
      <c r="R116" s="303">
        <f>SUM(R117:R118)</f>
        <v>0</v>
      </c>
      <c r="S116" s="276">
        <f>T116+V116</f>
        <v>249700</v>
      </c>
      <c r="T116" s="277">
        <f t="shared" si="91"/>
        <v>249700</v>
      </c>
      <c r="U116" s="277">
        <f>E116+I116+M116+Q116</f>
        <v>210600</v>
      </c>
      <c r="V116" s="290">
        <f t="shared" si="85"/>
        <v>0</v>
      </c>
    </row>
    <row r="117" spans="1:23" ht="13.5" customHeight="1" x14ac:dyDescent="0.2">
      <c r="A117" s="84"/>
      <c r="B117" s="94" t="s">
        <v>326</v>
      </c>
      <c r="C117" s="291">
        <f t="shared" si="87"/>
        <v>0</v>
      </c>
      <c r="D117" s="187">
        <f>SUM('prog-6'!D296)</f>
        <v>0</v>
      </c>
      <c r="E117" s="417">
        <f>SUM('prog-6'!E296)</f>
        <v>0</v>
      </c>
      <c r="F117" s="187">
        <f>SUM('prog-6'!F296)</f>
        <v>0</v>
      </c>
      <c r="G117" s="239">
        <f t="shared" si="66"/>
        <v>7100</v>
      </c>
      <c r="H117" s="187">
        <f>SUM('prog-6'!H296)</f>
        <v>7100</v>
      </c>
      <c r="I117" s="417">
        <f>SUM('prog-6'!I296)</f>
        <v>200</v>
      </c>
      <c r="J117" s="187">
        <f>SUM('prog-6'!J296)</f>
        <v>0</v>
      </c>
      <c r="K117" s="291">
        <f t="shared" si="59"/>
        <v>0</v>
      </c>
      <c r="L117" s="187">
        <f>SUM('prog-6'!L296)</f>
        <v>0</v>
      </c>
      <c r="M117" s="187">
        <f>SUM('prog-6'!M296)</f>
        <v>0</v>
      </c>
      <c r="N117" s="187">
        <f>SUM('prog-6'!N296)</f>
        <v>0</v>
      </c>
      <c r="O117" s="291">
        <f t="shared" si="67"/>
        <v>0</v>
      </c>
      <c r="P117" s="187">
        <f>SUM('prog-6'!P296)</f>
        <v>0</v>
      </c>
      <c r="Q117" s="187">
        <f>SUM('prog-6'!Q296)</f>
        <v>0</v>
      </c>
      <c r="R117" s="187">
        <f>SUM('prog-6'!R296)</f>
        <v>0</v>
      </c>
      <c r="S117" s="287">
        <f>T117+V117</f>
        <v>7100</v>
      </c>
      <c r="T117" s="288">
        <f t="shared" si="91"/>
        <v>7100</v>
      </c>
      <c r="U117" s="288">
        <f>E117+I117+M117</f>
        <v>200</v>
      </c>
      <c r="V117" s="289">
        <f t="shared" si="85"/>
        <v>0</v>
      </c>
    </row>
    <row r="118" spans="1:23" ht="13.5" customHeight="1" thickBot="1" x14ac:dyDescent="0.25">
      <c r="A118" s="98"/>
      <c r="B118" s="104" t="s">
        <v>328</v>
      </c>
      <c r="C118" s="281">
        <f t="shared" si="87"/>
        <v>126200</v>
      </c>
      <c r="D118" s="280">
        <f>SUM('prog-6'!D447)</f>
        <v>126200</v>
      </c>
      <c r="E118" s="418">
        <f>SUM('prog-6'!E447)</f>
        <v>110000</v>
      </c>
      <c r="F118" s="280">
        <f>SUM('prog-6'!F447)</f>
        <v>0</v>
      </c>
      <c r="G118" s="306">
        <f t="shared" si="66"/>
        <v>103500</v>
      </c>
      <c r="H118" s="280">
        <f>SUM('prog-6'!H447)</f>
        <v>103500</v>
      </c>
      <c r="I118" s="418">
        <f>SUM('prog-6'!I447)</f>
        <v>100400</v>
      </c>
      <c r="J118" s="280">
        <f>SUM('prog-6'!J447)</f>
        <v>0</v>
      </c>
      <c r="K118" s="281">
        <f t="shared" si="59"/>
        <v>12900</v>
      </c>
      <c r="L118" s="280">
        <f>SUM('prog-6'!L447)</f>
        <v>12900</v>
      </c>
      <c r="M118" s="280">
        <f>SUM('prog-6'!M447)</f>
        <v>0</v>
      </c>
      <c r="N118" s="280">
        <f>SUM('prog-6'!N447)</f>
        <v>0</v>
      </c>
      <c r="O118" s="281">
        <f t="shared" si="67"/>
        <v>0</v>
      </c>
      <c r="P118" s="280">
        <f>SUM('prog-6'!P447)</f>
        <v>0</v>
      </c>
      <c r="Q118" s="280">
        <f>SUM('prog-6'!Q447)</f>
        <v>0</v>
      </c>
      <c r="R118" s="280">
        <f>SUM('prog-6'!R447)</f>
        <v>0</v>
      </c>
      <c r="S118" s="281">
        <f t="shared" ref="S118" si="95">T118+V118</f>
        <v>242600</v>
      </c>
      <c r="T118" s="280">
        <f t="shared" si="91"/>
        <v>242600</v>
      </c>
      <c r="U118" s="280">
        <f>E118+I118+M118+Q118</f>
        <v>210400</v>
      </c>
      <c r="V118" s="292">
        <f t="shared" si="85"/>
        <v>0</v>
      </c>
    </row>
    <row r="119" spans="1:23" ht="13.5" customHeight="1" thickBot="1" x14ac:dyDescent="0.25">
      <c r="A119" s="96" t="s">
        <v>261</v>
      </c>
      <c r="B119" s="107" t="s">
        <v>269</v>
      </c>
      <c r="C119" s="276">
        <f t="shared" si="87"/>
        <v>162600</v>
      </c>
      <c r="D119" s="277">
        <f>SUM(D120:D121)</f>
        <v>162600</v>
      </c>
      <c r="E119" s="415">
        <f>SUM(E120:E121)</f>
        <v>144200</v>
      </c>
      <c r="F119" s="293">
        <f>SUM(F120:F121)</f>
        <v>0</v>
      </c>
      <c r="G119" s="305">
        <f t="shared" si="66"/>
        <v>132600</v>
      </c>
      <c r="H119" s="303">
        <f>SUM(H120:H121)</f>
        <v>132600</v>
      </c>
      <c r="I119" s="427">
        <f>SUM(I120:I121)</f>
        <v>120400</v>
      </c>
      <c r="J119" s="304">
        <f>SUM(J120:J121)</f>
        <v>0</v>
      </c>
      <c r="K119" s="276">
        <f>L119+N119</f>
        <v>22200</v>
      </c>
      <c r="L119" s="303">
        <f>SUM(L120:L121)</f>
        <v>22200</v>
      </c>
      <c r="M119" s="303">
        <f>SUM(M120:M121)</f>
        <v>0</v>
      </c>
      <c r="N119" s="304">
        <f>SUM(N120:N121)</f>
        <v>0</v>
      </c>
      <c r="O119" s="276">
        <f t="shared" si="67"/>
        <v>0</v>
      </c>
      <c r="P119" s="303">
        <f>SUM(P120:P121)</f>
        <v>0</v>
      </c>
      <c r="Q119" s="304"/>
      <c r="R119" s="304">
        <f>SUM(R120:R121)</f>
        <v>0</v>
      </c>
      <c r="S119" s="276">
        <f>T119+V119</f>
        <v>317400</v>
      </c>
      <c r="T119" s="277">
        <f t="shared" si="91"/>
        <v>317400</v>
      </c>
      <c r="U119" s="277">
        <f>E119+I119+M119+Q119</f>
        <v>264600</v>
      </c>
      <c r="V119" s="290">
        <f t="shared" si="85"/>
        <v>0</v>
      </c>
    </row>
    <row r="120" spans="1:23" ht="13.5" customHeight="1" x14ac:dyDescent="0.2">
      <c r="A120" s="84"/>
      <c r="B120" s="102" t="s">
        <v>326</v>
      </c>
      <c r="C120" s="185">
        <f t="shared" si="87"/>
        <v>0</v>
      </c>
      <c r="D120" s="186">
        <f>SUM('prog-6'!D297)</f>
        <v>0</v>
      </c>
      <c r="E120" s="419">
        <f>SUM('prog-6'!E297)</f>
        <v>0</v>
      </c>
      <c r="F120" s="186">
        <f>SUM('prog-6'!F297)</f>
        <v>0</v>
      </c>
      <c r="G120" s="191">
        <f t="shared" si="66"/>
        <v>5700</v>
      </c>
      <c r="H120" s="186">
        <f>SUM('prog-6'!H297)</f>
        <v>5700</v>
      </c>
      <c r="I120" s="419">
        <f>SUM('prog-6'!I297)</f>
        <v>200</v>
      </c>
      <c r="J120" s="186">
        <f>SUM('prog-6'!J297)</f>
        <v>0</v>
      </c>
      <c r="K120" s="185">
        <f t="shared" si="59"/>
        <v>0</v>
      </c>
      <c r="L120" s="186">
        <f>SUM('prog-6'!L297)</f>
        <v>0</v>
      </c>
      <c r="M120" s="186">
        <f>SUM('prog-6'!M297)</f>
        <v>0</v>
      </c>
      <c r="N120" s="186">
        <f>SUM('prog-6'!N297)</f>
        <v>0</v>
      </c>
      <c r="O120" s="185">
        <f t="shared" si="67"/>
        <v>0</v>
      </c>
      <c r="P120" s="186">
        <f>SUM('prog-6'!P297)</f>
        <v>0</v>
      </c>
      <c r="Q120" s="186">
        <f>SUM('prog-6'!Q297)</f>
        <v>0</v>
      </c>
      <c r="R120" s="186">
        <f>SUM('prog-6'!R297)</f>
        <v>0</v>
      </c>
      <c r="S120" s="287">
        <f>T120+V120</f>
        <v>5700</v>
      </c>
      <c r="T120" s="288">
        <f t="shared" si="91"/>
        <v>5700</v>
      </c>
      <c r="U120" s="288">
        <f>E120+I120+M120</f>
        <v>200</v>
      </c>
      <c r="V120" s="289">
        <f t="shared" si="85"/>
        <v>0</v>
      </c>
    </row>
    <row r="121" spans="1:23" ht="13.5" customHeight="1" thickBot="1" x14ac:dyDescent="0.25">
      <c r="A121" s="98"/>
      <c r="B121" s="104" t="s">
        <v>328</v>
      </c>
      <c r="C121" s="281">
        <f t="shared" si="87"/>
        <v>162600</v>
      </c>
      <c r="D121" s="280">
        <f>SUM('prog-6'!D451)</f>
        <v>162600</v>
      </c>
      <c r="E121" s="418">
        <f>SUM('prog-6'!E451)</f>
        <v>144200</v>
      </c>
      <c r="F121" s="280">
        <f>SUM('prog-6'!F451)</f>
        <v>0</v>
      </c>
      <c r="G121" s="306">
        <f t="shared" si="66"/>
        <v>126900</v>
      </c>
      <c r="H121" s="280">
        <f>SUM('prog-6'!H451)</f>
        <v>126900</v>
      </c>
      <c r="I121" s="418">
        <f>SUM('prog-6'!I451)</f>
        <v>120200</v>
      </c>
      <c r="J121" s="280">
        <f>SUM('prog-6'!J451)</f>
        <v>0</v>
      </c>
      <c r="K121" s="281">
        <f t="shared" si="59"/>
        <v>22200</v>
      </c>
      <c r="L121" s="280">
        <f>SUM('prog-6'!L451)</f>
        <v>22200</v>
      </c>
      <c r="M121" s="280">
        <f>SUM('prog-6'!M451)</f>
        <v>0</v>
      </c>
      <c r="N121" s="280">
        <f>SUM('prog-6'!N451)</f>
        <v>0</v>
      </c>
      <c r="O121" s="281">
        <f t="shared" si="67"/>
        <v>0</v>
      </c>
      <c r="P121" s="280">
        <f>SUM('prog-6'!P451)</f>
        <v>0</v>
      </c>
      <c r="Q121" s="280">
        <f>SUM('prog-6'!Q451)</f>
        <v>0</v>
      </c>
      <c r="R121" s="280">
        <f>SUM('prog-6'!R451)</f>
        <v>0</v>
      </c>
      <c r="S121" s="281">
        <f t="shared" ref="S121" si="96">T121+V121</f>
        <v>311700</v>
      </c>
      <c r="T121" s="280">
        <f t="shared" si="91"/>
        <v>311700</v>
      </c>
      <c r="U121" s="280">
        <f>E121+I121+M121+Q121</f>
        <v>264400</v>
      </c>
      <c r="V121" s="292">
        <f t="shared" si="85"/>
        <v>0</v>
      </c>
    </row>
    <row r="122" spans="1:23" ht="13.5" customHeight="1" thickBot="1" x14ac:dyDescent="0.25">
      <c r="A122" s="100" t="s">
        <v>263</v>
      </c>
      <c r="B122" s="107" t="s">
        <v>392</v>
      </c>
      <c r="C122" s="276">
        <f t="shared" si="87"/>
        <v>524900</v>
      </c>
      <c r="D122" s="277">
        <f>SUM(D123:D123)</f>
        <v>524900</v>
      </c>
      <c r="E122" s="415">
        <f>SUM(E123:E123)</f>
        <v>505200</v>
      </c>
      <c r="F122" s="277">
        <f>SUM(F123:F123)</f>
        <v>0</v>
      </c>
      <c r="G122" s="305">
        <f t="shared" si="66"/>
        <v>19400</v>
      </c>
      <c r="H122" s="277">
        <f>SUM(H123:H123)</f>
        <v>19400</v>
      </c>
      <c r="I122" s="415">
        <f>SUM(I123:I123)</f>
        <v>19100</v>
      </c>
      <c r="J122" s="277">
        <f>SUM(J123:J123)</f>
        <v>0</v>
      </c>
      <c r="K122" s="276">
        <f t="shared" si="59"/>
        <v>37192.49</v>
      </c>
      <c r="L122" s="277">
        <f>SUM(L123:L123)</f>
        <v>34192.49</v>
      </c>
      <c r="M122" s="415">
        <f>SUM(M123:M123)</f>
        <v>0</v>
      </c>
      <c r="N122" s="415">
        <f>SUM(N123:N123)</f>
        <v>3000</v>
      </c>
      <c r="O122" s="276">
        <f t="shared" si="67"/>
        <v>0</v>
      </c>
      <c r="P122" s="277">
        <f>SUM(P123:P123)</f>
        <v>0</v>
      </c>
      <c r="Q122" s="277">
        <f>SUM(Q123:Q123)</f>
        <v>0</v>
      </c>
      <c r="R122" s="277">
        <f>SUM(R123:R123)</f>
        <v>0</v>
      </c>
      <c r="S122" s="276">
        <f>T122+V122</f>
        <v>581492.49</v>
      </c>
      <c r="T122" s="277">
        <f t="shared" si="91"/>
        <v>578492.49</v>
      </c>
      <c r="U122" s="277">
        <f>E122+I122+M122+Q122</f>
        <v>524300</v>
      </c>
      <c r="V122" s="290">
        <f t="shared" si="85"/>
        <v>3000</v>
      </c>
    </row>
    <row r="123" spans="1:23" ht="13.5" customHeight="1" thickBot="1" x14ac:dyDescent="0.25">
      <c r="A123" s="103"/>
      <c r="B123" s="152" t="s">
        <v>328</v>
      </c>
      <c r="C123" s="201">
        <f t="shared" si="87"/>
        <v>524900</v>
      </c>
      <c r="D123" s="202">
        <f>SUM('prog-6'!D455)</f>
        <v>524900</v>
      </c>
      <c r="E123" s="416">
        <f>SUM('prog-6'!E455)</f>
        <v>505200</v>
      </c>
      <c r="F123" s="202">
        <f>SUM('prog-6'!F455)</f>
        <v>0</v>
      </c>
      <c r="G123" s="314">
        <f t="shared" si="66"/>
        <v>19400</v>
      </c>
      <c r="H123" s="202">
        <f>SUM('prog-6'!H455)</f>
        <v>19400</v>
      </c>
      <c r="I123" s="416">
        <f>SUM('prog-6'!I455)</f>
        <v>19100</v>
      </c>
      <c r="J123" s="202">
        <f>SUM('prog-6'!J455)</f>
        <v>0</v>
      </c>
      <c r="K123" s="201">
        <f t="shared" si="59"/>
        <v>37192.49</v>
      </c>
      <c r="L123" s="202">
        <f>SUM('prog-6'!L455)</f>
        <v>34192.49</v>
      </c>
      <c r="M123" s="416">
        <f>SUM('prog-6'!M455)</f>
        <v>0</v>
      </c>
      <c r="N123" s="416">
        <f>SUM('prog-6'!N455)</f>
        <v>3000</v>
      </c>
      <c r="O123" s="201">
        <f t="shared" si="67"/>
        <v>0</v>
      </c>
      <c r="P123" s="202">
        <f>SUM('prog-6'!P455)</f>
        <v>0</v>
      </c>
      <c r="Q123" s="202">
        <f>SUM('prog-6'!Q455)</f>
        <v>0</v>
      </c>
      <c r="R123" s="202">
        <f>SUM('prog-6'!R455)</f>
        <v>0</v>
      </c>
      <c r="S123" s="287">
        <f>T123+V123</f>
        <v>581492.49</v>
      </c>
      <c r="T123" s="288">
        <f t="shared" si="91"/>
        <v>578492.49</v>
      </c>
      <c r="U123" s="288">
        <f>E123+I123+M123</f>
        <v>524300</v>
      </c>
      <c r="V123" s="289">
        <f t="shared" si="85"/>
        <v>3000</v>
      </c>
    </row>
    <row r="124" spans="1:23" ht="13.5" customHeight="1" thickBot="1" x14ac:dyDescent="0.25">
      <c r="A124" s="161" t="s">
        <v>265</v>
      </c>
      <c r="B124" s="160" t="s">
        <v>35</v>
      </c>
      <c r="C124" s="276">
        <f>D124+F124</f>
        <v>450400</v>
      </c>
      <c r="D124" s="277">
        <f>SUM(D125:D126)</f>
        <v>450400</v>
      </c>
      <c r="E124" s="415">
        <f>SUM(E125:E126)</f>
        <v>378000</v>
      </c>
      <c r="F124" s="277">
        <f>SUM(F125:F126)</f>
        <v>0</v>
      </c>
      <c r="G124" s="276">
        <f t="shared" si="66"/>
        <v>6473</v>
      </c>
      <c r="H124" s="277">
        <f>SUM(H125:H126)</f>
        <v>6473</v>
      </c>
      <c r="I124" s="415">
        <f>SUM(I125:I126)</f>
        <v>6380</v>
      </c>
      <c r="J124" s="277">
        <f>SUM(J125:J126)</f>
        <v>0</v>
      </c>
      <c r="K124" s="276">
        <f t="shared" ref="K124:K158" si="97">L124+N124</f>
        <v>15028.48</v>
      </c>
      <c r="L124" s="277">
        <f>SUM(L125:L126)</f>
        <v>15028.48</v>
      </c>
      <c r="M124" s="415">
        <f>SUM(M125:M126)</f>
        <v>0</v>
      </c>
      <c r="N124" s="415">
        <f>SUM(N125:N126)</f>
        <v>0</v>
      </c>
      <c r="O124" s="276">
        <f t="shared" si="67"/>
        <v>54338</v>
      </c>
      <c r="P124" s="277">
        <f>SUM(P125:P126)</f>
        <v>0</v>
      </c>
      <c r="Q124" s="277">
        <f>SUM(Q125:Q126)</f>
        <v>0</v>
      </c>
      <c r="R124" s="277">
        <f>SUM(R125:R126)</f>
        <v>54338</v>
      </c>
      <c r="S124" s="276">
        <f>T124+V124</f>
        <v>526239.48</v>
      </c>
      <c r="T124" s="277">
        <f t="shared" si="91"/>
        <v>471901.48</v>
      </c>
      <c r="U124" s="277">
        <f>E124+I124+M124+Q124</f>
        <v>384380</v>
      </c>
      <c r="V124" s="290">
        <f t="shared" si="85"/>
        <v>54338</v>
      </c>
    </row>
    <row r="125" spans="1:23" ht="13.5" customHeight="1" x14ac:dyDescent="0.2">
      <c r="A125" s="84"/>
      <c r="B125" s="102" t="s">
        <v>154</v>
      </c>
      <c r="C125" s="185">
        <f t="shared" ref="C125" si="98">D125+F125</f>
        <v>0</v>
      </c>
      <c r="D125" s="186">
        <f>SUM('prog-6'!D175)</f>
        <v>0</v>
      </c>
      <c r="E125" s="419">
        <f>SUM('prog-6'!E175)</f>
        <v>0</v>
      </c>
      <c r="F125" s="186">
        <f>SUM('prog-6'!F175)</f>
        <v>0</v>
      </c>
      <c r="G125" s="185">
        <f t="shared" si="66"/>
        <v>0</v>
      </c>
      <c r="H125" s="186">
        <f>SUM('prog-6'!H175)</f>
        <v>0</v>
      </c>
      <c r="I125" s="419">
        <f>SUM('prog-6'!I175)</f>
        <v>0</v>
      </c>
      <c r="J125" s="186">
        <f>SUM('prog-6'!J175)</f>
        <v>0</v>
      </c>
      <c r="K125" s="185">
        <f t="shared" ref="K125" si="99">L125+N125</f>
        <v>0</v>
      </c>
      <c r="L125" s="186">
        <f>SUM('prog-6'!L175)</f>
        <v>0</v>
      </c>
      <c r="M125" s="419">
        <f>SUM('prog-6'!M175)</f>
        <v>0</v>
      </c>
      <c r="N125" s="419">
        <f>SUM('prog-6'!N175)</f>
        <v>0</v>
      </c>
      <c r="O125" s="185">
        <f t="shared" ref="O125" si="100">P125+R125</f>
        <v>54338</v>
      </c>
      <c r="P125" s="186">
        <f>SUM('prog-6'!P175)</f>
        <v>0</v>
      </c>
      <c r="Q125" s="186">
        <f>SUM('prog-6'!Q175)</f>
        <v>0</v>
      </c>
      <c r="R125" s="186">
        <f>SUM('prog-6'!R175)</f>
        <v>54338</v>
      </c>
      <c r="S125" s="287">
        <f>T125+V125</f>
        <v>54338</v>
      </c>
      <c r="T125" s="288">
        <f t="shared" si="91"/>
        <v>0</v>
      </c>
      <c r="U125" s="288">
        <f>E125+I125+M125</f>
        <v>0</v>
      </c>
      <c r="V125" s="289">
        <f t="shared" si="85"/>
        <v>54338</v>
      </c>
      <c r="W125" s="146"/>
    </row>
    <row r="126" spans="1:23" ht="13.5" customHeight="1" thickBot="1" x14ac:dyDescent="0.25">
      <c r="A126" s="82"/>
      <c r="B126" s="94" t="s">
        <v>174</v>
      </c>
      <c r="C126" s="291">
        <f t="shared" si="87"/>
        <v>450400</v>
      </c>
      <c r="D126" s="187">
        <f>SUM('prog-6'!D194)</f>
        <v>450400</v>
      </c>
      <c r="E126" s="417">
        <f>SUM('prog-6'!E194)</f>
        <v>378000</v>
      </c>
      <c r="F126" s="187">
        <f>SUM('prog-6'!F194)</f>
        <v>0</v>
      </c>
      <c r="G126" s="291">
        <f t="shared" si="66"/>
        <v>6473</v>
      </c>
      <c r="H126" s="187">
        <f>SUM('prog-6'!H194)</f>
        <v>6473</v>
      </c>
      <c r="I126" s="417">
        <f>SUM('prog-6'!I194)</f>
        <v>6380</v>
      </c>
      <c r="J126" s="187">
        <f>SUM('prog-6'!J194)</f>
        <v>0</v>
      </c>
      <c r="K126" s="291">
        <f t="shared" si="97"/>
        <v>15028.48</v>
      </c>
      <c r="L126" s="187">
        <f>SUM('prog-6'!L194)</f>
        <v>15028.48</v>
      </c>
      <c r="M126" s="417">
        <f>SUM('prog-6'!M194)</f>
        <v>0</v>
      </c>
      <c r="N126" s="417">
        <f>SUM('prog-6'!N194)</f>
        <v>0</v>
      </c>
      <c r="O126" s="291">
        <f t="shared" si="67"/>
        <v>0</v>
      </c>
      <c r="P126" s="187">
        <f>SUM('prog-6'!P194)</f>
        <v>0</v>
      </c>
      <c r="Q126" s="187">
        <f>SUM('prog-6'!Q194)</f>
        <v>0</v>
      </c>
      <c r="R126" s="187">
        <f>SUM('prog-6'!R194)</f>
        <v>0</v>
      </c>
      <c r="S126" s="281">
        <f t="shared" ref="S126" si="101">T126+V126</f>
        <v>471901.48</v>
      </c>
      <c r="T126" s="280">
        <f t="shared" si="91"/>
        <v>471901.48</v>
      </c>
      <c r="U126" s="280">
        <f>E126+I126+M126+Q126</f>
        <v>384380</v>
      </c>
      <c r="V126" s="292">
        <f t="shared" si="85"/>
        <v>0</v>
      </c>
    </row>
    <row r="127" spans="1:23" ht="23.25" customHeight="1" thickBot="1" x14ac:dyDescent="0.25">
      <c r="A127" s="96" t="s">
        <v>267</v>
      </c>
      <c r="B127" s="107" t="s">
        <v>72</v>
      </c>
      <c r="C127" s="276">
        <f>D127+F127</f>
        <v>246700</v>
      </c>
      <c r="D127" s="277">
        <f>SUM(D129:D129)</f>
        <v>246700</v>
      </c>
      <c r="E127" s="415">
        <f>SUM(E129:E129)</f>
        <v>205500</v>
      </c>
      <c r="F127" s="277">
        <f>SUM(F129:F129)</f>
        <v>0</v>
      </c>
      <c r="G127" s="276">
        <f t="shared" si="66"/>
        <v>2919</v>
      </c>
      <c r="H127" s="277">
        <f>SUM(H129:H129)</f>
        <v>2919</v>
      </c>
      <c r="I127" s="415">
        <f>SUM(I129:I129)</f>
        <v>2880</v>
      </c>
      <c r="J127" s="277">
        <f>SUM(J129:J129)</f>
        <v>0</v>
      </c>
      <c r="K127" s="276">
        <f t="shared" si="97"/>
        <v>4000</v>
      </c>
      <c r="L127" s="277">
        <f>SUM(L129:L129)</f>
        <v>4000</v>
      </c>
      <c r="M127" s="415">
        <f>SUM(M129:M129)</f>
        <v>0</v>
      </c>
      <c r="N127" s="415">
        <f>SUM(N129:N129)</f>
        <v>0</v>
      </c>
      <c r="O127" s="276">
        <f t="shared" si="67"/>
        <v>0</v>
      </c>
      <c r="P127" s="277">
        <f>SUM(P129:P129)</f>
        <v>0</v>
      </c>
      <c r="Q127" s="277">
        <f>SUM(Q129:Q129)</f>
        <v>0</v>
      </c>
      <c r="R127" s="277">
        <f>SUM(R129:R129)</f>
        <v>0</v>
      </c>
      <c r="S127" s="276">
        <f t="shared" si="82"/>
        <v>253619</v>
      </c>
      <c r="T127" s="277">
        <f t="shared" si="91"/>
        <v>253619</v>
      </c>
      <c r="U127" s="277">
        <f t="shared" ref="U127:V127" si="102">E127+I127+M127+Q127</f>
        <v>208380</v>
      </c>
      <c r="V127" s="290">
        <f t="shared" si="102"/>
        <v>0</v>
      </c>
    </row>
    <row r="128" spans="1:23" ht="13.5" customHeight="1" thickBot="1" x14ac:dyDescent="0.25">
      <c r="A128" s="84"/>
      <c r="B128" s="102" t="s">
        <v>154</v>
      </c>
      <c r="C128" s="278">
        <f t="shared" ref="C128" si="103">D128+F128</f>
        <v>0</v>
      </c>
      <c r="D128" s="186">
        <f>SUM('prog-6'!D176)</f>
        <v>0</v>
      </c>
      <c r="E128" s="419">
        <f>SUM('prog-6'!E176)</f>
        <v>0</v>
      </c>
      <c r="F128" s="186">
        <f>SUM('prog-6'!F176)</f>
        <v>0</v>
      </c>
      <c r="G128" s="185">
        <f t="shared" ref="G128" si="104">H128+J128</f>
        <v>0</v>
      </c>
      <c r="H128" s="186">
        <f>SUM('prog-6'!H176)</f>
        <v>0</v>
      </c>
      <c r="I128" s="419">
        <f>SUM('prog-6'!I176)</f>
        <v>0</v>
      </c>
      <c r="J128" s="186">
        <f>SUM('prog-6'!J176)</f>
        <v>0</v>
      </c>
      <c r="K128" s="278">
        <f t="shared" si="97"/>
        <v>0</v>
      </c>
      <c r="L128" s="186">
        <f>SUM('prog-6'!L176)</f>
        <v>0</v>
      </c>
      <c r="M128" s="419">
        <f>SUM('prog-6'!M176)</f>
        <v>0</v>
      </c>
      <c r="N128" s="419">
        <f>SUM('prog-6'!N176)</f>
        <v>0</v>
      </c>
      <c r="O128" s="185">
        <f t="shared" si="67"/>
        <v>54338</v>
      </c>
      <c r="P128" s="186">
        <f>SUM('prog-6'!P176)</f>
        <v>0</v>
      </c>
      <c r="Q128" s="186">
        <f>SUM('prog-6'!Q176)</f>
        <v>0</v>
      </c>
      <c r="R128" s="186">
        <f>SUM('prog-6'!R176)</f>
        <v>54338</v>
      </c>
      <c r="S128" s="185">
        <f t="shared" ref="S128" si="105">T128+V128</f>
        <v>54338</v>
      </c>
      <c r="T128" s="186">
        <f>SUM('prog-6'!T176)</f>
        <v>0</v>
      </c>
      <c r="U128" s="186">
        <f>SUM('prog-6'!U176)</f>
        <v>0</v>
      </c>
      <c r="V128" s="294">
        <f>SUM('prog-6'!V176)</f>
        <v>54338</v>
      </c>
      <c r="W128" s="146"/>
    </row>
    <row r="129" spans="1:24" ht="13.5" customHeight="1" thickBot="1" x14ac:dyDescent="0.25">
      <c r="A129" s="80"/>
      <c r="B129" s="106" t="s">
        <v>174</v>
      </c>
      <c r="C129" s="185">
        <f t="shared" si="87"/>
        <v>246700</v>
      </c>
      <c r="D129" s="202">
        <f>SUM('prog-6'!D198)</f>
        <v>246700</v>
      </c>
      <c r="E129" s="416">
        <f>SUM('prog-6'!E198)</f>
        <v>205500</v>
      </c>
      <c r="F129" s="202">
        <f>SUM('prog-6'!F198)</f>
        <v>0</v>
      </c>
      <c r="G129" s="201">
        <f t="shared" si="66"/>
        <v>2919</v>
      </c>
      <c r="H129" s="202">
        <f>SUM('prog-6'!H198)</f>
        <v>2919</v>
      </c>
      <c r="I129" s="416">
        <f>SUM('prog-6'!I198)</f>
        <v>2880</v>
      </c>
      <c r="J129" s="202">
        <f>SUM('prog-6'!J198)</f>
        <v>0</v>
      </c>
      <c r="K129" s="185">
        <f t="shared" si="97"/>
        <v>4000</v>
      </c>
      <c r="L129" s="202">
        <f>SUM('prog-6'!L198)</f>
        <v>4000</v>
      </c>
      <c r="M129" s="416">
        <f>SUM('prog-6'!M198)</f>
        <v>0</v>
      </c>
      <c r="N129" s="416">
        <f>SUM('prog-6'!N198)</f>
        <v>0</v>
      </c>
      <c r="O129" s="201">
        <f t="shared" si="67"/>
        <v>0</v>
      </c>
      <c r="P129" s="202">
        <f>SUM('prog-6'!P198)</f>
        <v>0</v>
      </c>
      <c r="Q129" s="202">
        <f>SUM('prog-6'!Q198)</f>
        <v>0</v>
      </c>
      <c r="R129" s="202">
        <f>SUM('prog-6'!R198)</f>
        <v>0</v>
      </c>
      <c r="S129" s="201">
        <f t="shared" si="82"/>
        <v>253619</v>
      </c>
      <c r="T129" s="202">
        <f t="shared" ref="T129:T158" si="106">D129+H129+L129+P129</f>
        <v>253619</v>
      </c>
      <c r="U129" s="202">
        <f t="shared" ref="U129:V129" si="107">E129+I129+M129+Q129</f>
        <v>208380</v>
      </c>
      <c r="V129" s="224">
        <f t="shared" si="107"/>
        <v>0</v>
      </c>
      <c r="W129" s="150"/>
    </row>
    <row r="130" spans="1:24" ht="13.5" customHeight="1" thickBot="1" x14ac:dyDescent="0.25">
      <c r="A130" s="96" t="s">
        <v>476</v>
      </c>
      <c r="B130" s="107" t="s">
        <v>38</v>
      </c>
      <c r="C130" s="276">
        <f>D130+F130</f>
        <v>150800</v>
      </c>
      <c r="D130" s="277">
        <f>SUM(D131)</f>
        <v>150800</v>
      </c>
      <c r="E130" s="415">
        <f>SUM(E131)</f>
        <v>119600</v>
      </c>
      <c r="F130" s="293">
        <f>SUM(F131)</f>
        <v>0</v>
      </c>
      <c r="G130" s="276">
        <f t="shared" si="66"/>
        <v>2221</v>
      </c>
      <c r="H130" s="277">
        <f>SUM(H131)</f>
        <v>2221</v>
      </c>
      <c r="I130" s="415">
        <f>SUM(I131)</f>
        <v>2200</v>
      </c>
      <c r="J130" s="293">
        <f>SUM(J131)</f>
        <v>0</v>
      </c>
      <c r="K130" s="276">
        <f t="shared" si="97"/>
        <v>300</v>
      </c>
      <c r="L130" s="277">
        <f>SUM(L131)</f>
        <v>300</v>
      </c>
      <c r="M130" s="415">
        <f>SUM(M131)</f>
        <v>0</v>
      </c>
      <c r="N130" s="429">
        <f>SUM(N131)</f>
        <v>0</v>
      </c>
      <c r="O130" s="276">
        <f t="shared" si="67"/>
        <v>0</v>
      </c>
      <c r="P130" s="277">
        <f>P131</f>
        <v>0</v>
      </c>
      <c r="Q130" s="293"/>
      <c r="R130" s="293">
        <f>R131</f>
        <v>0</v>
      </c>
      <c r="S130" s="276">
        <f t="shared" ref="S130:S140" si="108">T130+V130</f>
        <v>153321</v>
      </c>
      <c r="T130" s="277">
        <f t="shared" si="106"/>
        <v>153321</v>
      </c>
      <c r="U130" s="277">
        <f>E130+I130+M130+Q130</f>
        <v>121800</v>
      </c>
      <c r="V130" s="290">
        <f>F130+J130+N130+R130</f>
        <v>0</v>
      </c>
    </row>
    <row r="131" spans="1:24" ht="13.5" customHeight="1" thickBot="1" x14ac:dyDescent="0.25">
      <c r="A131" s="98"/>
      <c r="B131" s="106" t="s">
        <v>174</v>
      </c>
      <c r="C131" s="201">
        <f t="shared" si="87"/>
        <v>150800</v>
      </c>
      <c r="D131" s="202">
        <f>SUM('prog-6'!D201)</f>
        <v>150800</v>
      </c>
      <c r="E131" s="416">
        <f>SUM('prog-6'!E201)</f>
        <v>119600</v>
      </c>
      <c r="F131" s="202">
        <f>SUM('prog-6'!F201)</f>
        <v>0</v>
      </c>
      <c r="G131" s="201">
        <f t="shared" ref="G131:G158" si="109">H131+J131</f>
        <v>2221</v>
      </c>
      <c r="H131" s="202">
        <f>SUM('prog-6'!H201)</f>
        <v>2221</v>
      </c>
      <c r="I131" s="416">
        <f>SUM('prog-6'!I201)</f>
        <v>2200</v>
      </c>
      <c r="J131" s="202">
        <f>SUM('prog-6'!J201)</f>
        <v>0</v>
      </c>
      <c r="K131" s="201">
        <f t="shared" si="97"/>
        <v>300</v>
      </c>
      <c r="L131" s="202">
        <f>SUM('prog-6'!L201)</f>
        <v>300</v>
      </c>
      <c r="M131" s="416">
        <f>SUM('prog-6'!M201)</f>
        <v>0</v>
      </c>
      <c r="N131" s="416">
        <f>SUM('prog-6'!N201)</f>
        <v>0</v>
      </c>
      <c r="O131" s="201">
        <f t="shared" ref="O131:O154" si="110">P131+R131</f>
        <v>0</v>
      </c>
      <c r="P131" s="202">
        <f>SUM('prog-6'!P201)</f>
        <v>0</v>
      </c>
      <c r="Q131" s="202">
        <f>SUM('prog-6'!Q201)</f>
        <v>0</v>
      </c>
      <c r="R131" s="202">
        <f>SUM('prog-6'!R201)</f>
        <v>0</v>
      </c>
      <c r="S131" s="287">
        <f t="shared" si="108"/>
        <v>153321</v>
      </c>
      <c r="T131" s="288">
        <f t="shared" si="106"/>
        <v>153321</v>
      </c>
      <c r="U131" s="288">
        <f>E131+I131+M131</f>
        <v>121800</v>
      </c>
      <c r="V131" s="289">
        <f t="shared" ref="V131:V158" si="111">F131+J131+N131+R131</f>
        <v>0</v>
      </c>
    </row>
    <row r="132" spans="1:24" ht="13.5" customHeight="1" thickBot="1" x14ac:dyDescent="0.25">
      <c r="A132" s="100" t="s">
        <v>270</v>
      </c>
      <c r="B132" s="107" t="s">
        <v>37</v>
      </c>
      <c r="C132" s="276">
        <f>D132+F132</f>
        <v>87900</v>
      </c>
      <c r="D132" s="277">
        <f>SUM(D133:D133)</f>
        <v>87900</v>
      </c>
      <c r="E132" s="415">
        <f>SUM(E133:E133)</f>
        <v>78000</v>
      </c>
      <c r="F132" s="277">
        <f>SUM(F133:F133)</f>
        <v>0</v>
      </c>
      <c r="G132" s="276">
        <f t="shared" si="109"/>
        <v>1269</v>
      </c>
      <c r="H132" s="277">
        <f>SUM(H133:H133)</f>
        <v>1269</v>
      </c>
      <c r="I132" s="415">
        <f>SUM(I133:I133)</f>
        <v>1250</v>
      </c>
      <c r="J132" s="277">
        <f>SUM(J133:J133)</f>
        <v>0</v>
      </c>
      <c r="K132" s="276">
        <f t="shared" si="97"/>
        <v>1400</v>
      </c>
      <c r="L132" s="277">
        <f>SUM(L133:L133)</f>
        <v>1400</v>
      </c>
      <c r="M132" s="415">
        <f>SUM(M133:M133)</f>
        <v>0</v>
      </c>
      <c r="N132" s="415">
        <f>SUM(N133:N133)</f>
        <v>0</v>
      </c>
      <c r="O132" s="276">
        <f t="shared" si="110"/>
        <v>0</v>
      </c>
      <c r="P132" s="277">
        <f>SUM(P133:P133)</f>
        <v>0</v>
      </c>
      <c r="Q132" s="277">
        <f>SUM(Q133:Q133)</f>
        <v>0</v>
      </c>
      <c r="R132" s="277">
        <f>SUM(R133:R133)</f>
        <v>0</v>
      </c>
      <c r="S132" s="276">
        <f t="shared" si="108"/>
        <v>90569</v>
      </c>
      <c r="T132" s="277">
        <f t="shared" si="106"/>
        <v>90569</v>
      </c>
      <c r="U132" s="277">
        <f>E132+I132+M132+Q132</f>
        <v>79250</v>
      </c>
      <c r="V132" s="290">
        <f t="shared" si="111"/>
        <v>0</v>
      </c>
    </row>
    <row r="133" spans="1:24" ht="13.5" customHeight="1" thickBot="1" x14ac:dyDescent="0.25">
      <c r="A133" s="153"/>
      <c r="B133" s="109" t="s">
        <v>174</v>
      </c>
      <c r="C133" s="278">
        <f t="shared" si="87"/>
        <v>87900</v>
      </c>
      <c r="D133" s="279">
        <f>SUM('prog-6'!D207)</f>
        <v>87900</v>
      </c>
      <c r="E133" s="421">
        <f>SUM('prog-6'!E207)</f>
        <v>78000</v>
      </c>
      <c r="F133" s="279">
        <f>SUM('prog-6'!F207)</f>
        <v>0</v>
      </c>
      <c r="G133" s="278">
        <f t="shared" si="109"/>
        <v>1269</v>
      </c>
      <c r="H133" s="279">
        <f>SUM('prog-6'!H207)</f>
        <v>1269</v>
      </c>
      <c r="I133" s="421">
        <f>SUM('prog-6'!I207)</f>
        <v>1250</v>
      </c>
      <c r="J133" s="279">
        <f>SUM('prog-6'!J207)</f>
        <v>0</v>
      </c>
      <c r="K133" s="278">
        <f t="shared" si="97"/>
        <v>1400</v>
      </c>
      <c r="L133" s="279">
        <f>SUM('prog-6'!L207)</f>
        <v>1400</v>
      </c>
      <c r="M133" s="421">
        <f>SUM('prog-6'!M207)</f>
        <v>0</v>
      </c>
      <c r="N133" s="421">
        <f>SUM('prog-6'!N207)</f>
        <v>0</v>
      </c>
      <c r="O133" s="278">
        <f t="shared" si="110"/>
        <v>0</v>
      </c>
      <c r="P133" s="279">
        <f>SUM('prog-6'!P207)</f>
        <v>0</v>
      </c>
      <c r="Q133" s="279">
        <f>SUM('prog-6'!Q207)</f>
        <v>0</v>
      </c>
      <c r="R133" s="279">
        <f>SUM('prog-6'!R207)</f>
        <v>0</v>
      </c>
      <c r="S133" s="287">
        <f t="shared" si="108"/>
        <v>90569</v>
      </c>
      <c r="T133" s="288">
        <f t="shared" si="106"/>
        <v>90569</v>
      </c>
      <c r="U133" s="288">
        <f>E133+I133+M133</f>
        <v>79250</v>
      </c>
      <c r="V133" s="289">
        <f t="shared" si="111"/>
        <v>0</v>
      </c>
    </row>
    <row r="134" spans="1:24" ht="13.5" customHeight="1" thickBot="1" x14ac:dyDescent="0.25">
      <c r="A134" s="96" t="s">
        <v>271</v>
      </c>
      <c r="B134" s="107" t="s">
        <v>36</v>
      </c>
      <c r="C134" s="276">
        <f>D134+F134</f>
        <v>156900</v>
      </c>
      <c r="D134" s="277">
        <f>SUM(D135)</f>
        <v>152900</v>
      </c>
      <c r="E134" s="415">
        <f>SUM(E135)</f>
        <v>137000</v>
      </c>
      <c r="F134" s="293">
        <f>SUM(F135)</f>
        <v>4000</v>
      </c>
      <c r="G134" s="276">
        <f t="shared" si="109"/>
        <v>2031</v>
      </c>
      <c r="H134" s="277">
        <f>SUM(H135)</f>
        <v>2031</v>
      </c>
      <c r="I134" s="415">
        <f>SUM(I135)</f>
        <v>2000</v>
      </c>
      <c r="J134" s="293">
        <f>SUM(J135)</f>
        <v>0</v>
      </c>
      <c r="K134" s="276">
        <f t="shared" si="97"/>
        <v>1000</v>
      </c>
      <c r="L134" s="277">
        <f>SUM(L135)</f>
        <v>1000</v>
      </c>
      <c r="M134" s="415">
        <f>SUM(M135)</f>
        <v>0</v>
      </c>
      <c r="N134" s="429">
        <f>SUM(N135)</f>
        <v>0</v>
      </c>
      <c r="O134" s="276">
        <f t="shared" si="110"/>
        <v>0</v>
      </c>
      <c r="P134" s="277">
        <f>P135</f>
        <v>0</v>
      </c>
      <c r="Q134" s="293"/>
      <c r="R134" s="293">
        <f>R135</f>
        <v>0</v>
      </c>
      <c r="S134" s="276">
        <f t="shared" si="108"/>
        <v>159931</v>
      </c>
      <c r="T134" s="277">
        <f t="shared" si="106"/>
        <v>155931</v>
      </c>
      <c r="U134" s="277">
        <f>E134+I134+M134+Q134</f>
        <v>139000</v>
      </c>
      <c r="V134" s="290">
        <f t="shared" si="111"/>
        <v>4000</v>
      </c>
    </row>
    <row r="135" spans="1:24" ht="13.5" customHeight="1" thickBot="1" x14ac:dyDescent="0.25">
      <c r="A135" s="98"/>
      <c r="B135" s="106" t="s">
        <v>174</v>
      </c>
      <c r="C135" s="201">
        <f t="shared" si="87"/>
        <v>156900</v>
      </c>
      <c r="D135" s="202">
        <f>SUM('prog-6'!D204)</f>
        <v>152900</v>
      </c>
      <c r="E135" s="416">
        <f>SUM('prog-6'!E204)</f>
        <v>137000</v>
      </c>
      <c r="F135" s="202">
        <f>SUM('prog-6'!F204)</f>
        <v>4000</v>
      </c>
      <c r="G135" s="201">
        <f t="shared" si="109"/>
        <v>2031</v>
      </c>
      <c r="H135" s="202">
        <f>SUM('prog-6'!H204)</f>
        <v>2031</v>
      </c>
      <c r="I135" s="416">
        <f>SUM('prog-6'!I204)</f>
        <v>2000</v>
      </c>
      <c r="J135" s="202">
        <f>SUM('prog-6'!J204)</f>
        <v>0</v>
      </c>
      <c r="K135" s="201">
        <f t="shared" si="97"/>
        <v>1000</v>
      </c>
      <c r="L135" s="202">
        <f>SUM('prog-6'!L204)</f>
        <v>1000</v>
      </c>
      <c r="M135" s="416">
        <f>SUM('prog-6'!M204)</f>
        <v>0</v>
      </c>
      <c r="N135" s="416">
        <f>SUM('prog-6'!N204)</f>
        <v>0</v>
      </c>
      <c r="O135" s="201">
        <f t="shared" si="110"/>
        <v>0</v>
      </c>
      <c r="P135" s="202">
        <f>SUM('prog-6'!P204)</f>
        <v>0</v>
      </c>
      <c r="Q135" s="202">
        <f>SUM('prog-6'!Q204)</f>
        <v>0</v>
      </c>
      <c r="R135" s="202">
        <f>SUM('prog-6'!R204)</f>
        <v>0</v>
      </c>
      <c r="S135" s="287">
        <f t="shared" si="108"/>
        <v>159931</v>
      </c>
      <c r="T135" s="288">
        <f t="shared" si="106"/>
        <v>155931</v>
      </c>
      <c r="U135" s="288">
        <f>E135+I135+M135</f>
        <v>139000</v>
      </c>
      <c r="V135" s="289">
        <f t="shared" si="111"/>
        <v>4000</v>
      </c>
    </row>
    <row r="136" spans="1:24" ht="13.5" customHeight="1" thickBot="1" x14ac:dyDescent="0.25">
      <c r="A136" s="96" t="s">
        <v>272</v>
      </c>
      <c r="B136" s="107" t="s">
        <v>377</v>
      </c>
      <c r="C136" s="276">
        <f>D136+F136</f>
        <v>108200</v>
      </c>
      <c r="D136" s="277">
        <f>SUM(D137:D137)</f>
        <v>108200</v>
      </c>
      <c r="E136" s="415">
        <f>SUM(E137:E137)</f>
        <v>88600</v>
      </c>
      <c r="F136" s="277">
        <f>SUM(F137:F137)</f>
        <v>0</v>
      </c>
      <c r="G136" s="276">
        <f t="shared" si="109"/>
        <v>1523</v>
      </c>
      <c r="H136" s="277">
        <f>SUM(H137:H137)</f>
        <v>1523</v>
      </c>
      <c r="I136" s="415">
        <f>SUM(I137:I137)</f>
        <v>1500</v>
      </c>
      <c r="J136" s="277">
        <f>SUM(J137:J137)</f>
        <v>0</v>
      </c>
      <c r="K136" s="276">
        <f t="shared" si="97"/>
        <v>300</v>
      </c>
      <c r="L136" s="277">
        <f>SUM(L137:L137)</f>
        <v>300</v>
      </c>
      <c r="M136" s="415">
        <f>SUM(M137:M137)</f>
        <v>0</v>
      </c>
      <c r="N136" s="415">
        <f>SUM(N137:N137)</f>
        <v>0</v>
      </c>
      <c r="O136" s="276">
        <f t="shared" si="110"/>
        <v>0</v>
      </c>
      <c r="P136" s="277">
        <f>SUM(P137:P137)</f>
        <v>0</v>
      </c>
      <c r="Q136" s="277">
        <f>SUM(Q137:Q137)</f>
        <v>0</v>
      </c>
      <c r="R136" s="277">
        <f>SUM(R137:R137)</f>
        <v>0</v>
      </c>
      <c r="S136" s="276">
        <f t="shared" si="108"/>
        <v>110023</v>
      </c>
      <c r="T136" s="277">
        <f t="shared" si="106"/>
        <v>110023</v>
      </c>
      <c r="U136" s="277">
        <f>E136+I136+M136+Q136</f>
        <v>90100</v>
      </c>
      <c r="V136" s="290">
        <f t="shared" si="111"/>
        <v>0</v>
      </c>
    </row>
    <row r="137" spans="1:24" ht="13.5" customHeight="1" thickBot="1" x14ac:dyDescent="0.25">
      <c r="A137" s="108"/>
      <c r="B137" s="109" t="s">
        <v>174</v>
      </c>
      <c r="C137" s="278">
        <f t="shared" si="87"/>
        <v>108200</v>
      </c>
      <c r="D137" s="279">
        <f>SUM('prog-6'!D210)</f>
        <v>108200</v>
      </c>
      <c r="E137" s="421">
        <f>SUM('prog-6'!E210)</f>
        <v>88600</v>
      </c>
      <c r="F137" s="279">
        <f>SUM('prog-6'!F210)</f>
        <v>0</v>
      </c>
      <c r="G137" s="278">
        <f t="shared" si="109"/>
        <v>1523</v>
      </c>
      <c r="H137" s="279">
        <f>SUM('prog-6'!H210)</f>
        <v>1523</v>
      </c>
      <c r="I137" s="421">
        <f>SUM('prog-6'!I210)</f>
        <v>1500</v>
      </c>
      <c r="J137" s="279">
        <f>SUM('prog-6'!J210)</f>
        <v>0</v>
      </c>
      <c r="K137" s="278">
        <f t="shared" si="97"/>
        <v>300</v>
      </c>
      <c r="L137" s="279">
        <f>SUM('prog-6'!L210)</f>
        <v>300</v>
      </c>
      <c r="M137" s="421">
        <f>SUM('prog-6'!M210)</f>
        <v>0</v>
      </c>
      <c r="N137" s="421">
        <f>SUM('prog-6'!N210)</f>
        <v>0</v>
      </c>
      <c r="O137" s="278">
        <f t="shared" si="110"/>
        <v>0</v>
      </c>
      <c r="P137" s="279">
        <f>SUM('prog-6'!P210)</f>
        <v>0</v>
      </c>
      <c r="Q137" s="279">
        <f>SUM('prog-6'!Q210)</f>
        <v>0</v>
      </c>
      <c r="R137" s="279">
        <f>SUM('prog-6'!R210)</f>
        <v>0</v>
      </c>
      <c r="S137" s="287">
        <f t="shared" si="108"/>
        <v>110023</v>
      </c>
      <c r="T137" s="288">
        <f t="shared" si="106"/>
        <v>110023</v>
      </c>
      <c r="U137" s="288">
        <f>E137+I137+M137</f>
        <v>90100</v>
      </c>
      <c r="V137" s="289">
        <f t="shared" si="111"/>
        <v>0</v>
      </c>
    </row>
    <row r="138" spans="1:24" ht="13.5" customHeight="1" thickBot="1" x14ac:dyDescent="0.25">
      <c r="A138" s="96" t="s">
        <v>273</v>
      </c>
      <c r="B138" s="101" t="s">
        <v>280</v>
      </c>
      <c r="C138" s="276">
        <f>D138+F138</f>
        <v>605500</v>
      </c>
      <c r="D138" s="277">
        <f>SUM(D139)</f>
        <v>605500</v>
      </c>
      <c r="E138" s="415">
        <f>SUM(E139)</f>
        <v>551300</v>
      </c>
      <c r="F138" s="293">
        <f>SUM(F139)</f>
        <v>0</v>
      </c>
      <c r="G138" s="276">
        <f t="shared" si="109"/>
        <v>38490</v>
      </c>
      <c r="H138" s="277">
        <f>SUM(H139)</f>
        <v>8884</v>
      </c>
      <c r="I138" s="415">
        <f>SUM(I139)</f>
        <v>8757</v>
      </c>
      <c r="J138" s="293">
        <f>SUM(J139)</f>
        <v>29606</v>
      </c>
      <c r="K138" s="276">
        <f t="shared" si="97"/>
        <v>1000</v>
      </c>
      <c r="L138" s="277">
        <f>SUM(L139)</f>
        <v>1000</v>
      </c>
      <c r="M138" s="415">
        <f>SUM(M139)</f>
        <v>0</v>
      </c>
      <c r="N138" s="429">
        <f>SUM(N139)</f>
        <v>0</v>
      </c>
      <c r="O138" s="276">
        <f t="shared" si="110"/>
        <v>0</v>
      </c>
      <c r="P138" s="277">
        <f>P139</f>
        <v>0</v>
      </c>
      <c r="Q138" s="293"/>
      <c r="R138" s="293">
        <f>R139</f>
        <v>0</v>
      </c>
      <c r="S138" s="276">
        <f t="shared" si="108"/>
        <v>644990</v>
      </c>
      <c r="T138" s="277">
        <f t="shared" si="106"/>
        <v>615384</v>
      </c>
      <c r="U138" s="277">
        <f>E138+I138+M138+Q138</f>
        <v>560057</v>
      </c>
      <c r="V138" s="290">
        <f t="shared" si="111"/>
        <v>29606</v>
      </c>
    </row>
    <row r="139" spans="1:24" ht="13.5" customHeight="1" thickBot="1" x14ac:dyDescent="0.25">
      <c r="A139" s="98"/>
      <c r="B139" s="106" t="s">
        <v>174</v>
      </c>
      <c r="C139" s="201">
        <f t="shared" si="87"/>
        <v>605500</v>
      </c>
      <c r="D139" s="202">
        <f>SUM('prog-6'!D213)</f>
        <v>605500</v>
      </c>
      <c r="E139" s="416">
        <f>SUM('prog-6'!E213)</f>
        <v>551300</v>
      </c>
      <c r="F139" s="202">
        <f>SUM('prog-6'!F213)</f>
        <v>0</v>
      </c>
      <c r="G139" s="201">
        <f t="shared" si="109"/>
        <v>38490</v>
      </c>
      <c r="H139" s="202">
        <f>SUM('prog-6'!H213)</f>
        <v>8884</v>
      </c>
      <c r="I139" s="416">
        <f>SUM('prog-6'!I213)</f>
        <v>8757</v>
      </c>
      <c r="J139" s="202">
        <f>SUM('prog-6'!J213)</f>
        <v>29606</v>
      </c>
      <c r="K139" s="201">
        <f t="shared" si="97"/>
        <v>1000</v>
      </c>
      <c r="L139" s="202">
        <f>SUM('prog-6'!L213)</f>
        <v>1000</v>
      </c>
      <c r="M139" s="416">
        <f>SUM('prog-6'!M213)</f>
        <v>0</v>
      </c>
      <c r="N139" s="416">
        <f>SUM('prog-6'!N213)</f>
        <v>0</v>
      </c>
      <c r="O139" s="315">
        <f t="shared" si="110"/>
        <v>0</v>
      </c>
      <c r="P139" s="202">
        <f>SUM('prog-6'!P213)</f>
        <v>0</v>
      </c>
      <c r="Q139" s="202">
        <f>SUM('prog-6'!Q213)</f>
        <v>0</v>
      </c>
      <c r="R139" s="202">
        <f>SUM('prog-6'!R213)</f>
        <v>0</v>
      </c>
      <c r="S139" s="287">
        <f t="shared" si="108"/>
        <v>644990</v>
      </c>
      <c r="T139" s="288">
        <f t="shared" si="106"/>
        <v>615384</v>
      </c>
      <c r="U139" s="288">
        <f>E139+I139+M139</f>
        <v>560057</v>
      </c>
      <c r="V139" s="289">
        <f t="shared" si="111"/>
        <v>29606</v>
      </c>
    </row>
    <row r="140" spans="1:24" ht="13.5" customHeight="1" thickBot="1" x14ac:dyDescent="0.25">
      <c r="A140" s="100" t="s">
        <v>274</v>
      </c>
      <c r="B140" s="101" t="s">
        <v>33</v>
      </c>
      <c r="C140" s="276">
        <f>D140+F140</f>
        <v>171200</v>
      </c>
      <c r="D140" s="277">
        <f>SUM(D141:D141)</f>
        <v>171200</v>
      </c>
      <c r="E140" s="415">
        <f>SUM(E141:E141)</f>
        <v>139100</v>
      </c>
      <c r="F140" s="290">
        <f>SUM(F141:F141)</f>
        <v>0</v>
      </c>
      <c r="G140" s="276">
        <f t="shared" si="109"/>
        <v>1650</v>
      </c>
      <c r="H140" s="301">
        <f>SUM(H141:H141)</f>
        <v>1650</v>
      </c>
      <c r="I140" s="415">
        <f>SUM(I141:I141)</f>
        <v>1626</v>
      </c>
      <c r="J140" s="290">
        <f>SUM(J141:J141)</f>
        <v>0</v>
      </c>
      <c r="K140" s="276">
        <f t="shared" si="97"/>
        <v>10000</v>
      </c>
      <c r="L140" s="301">
        <f>SUM(L141:L141)</f>
        <v>8800</v>
      </c>
      <c r="M140" s="415">
        <f>SUM(M141:M141)</f>
        <v>4800</v>
      </c>
      <c r="N140" s="430">
        <f>SUM(N141:N141)</f>
        <v>1200</v>
      </c>
      <c r="O140" s="316">
        <f t="shared" si="110"/>
        <v>0</v>
      </c>
      <c r="P140" s="277">
        <f>SUM(P141:P141)</f>
        <v>0</v>
      </c>
      <c r="Q140" s="317"/>
      <c r="R140" s="317">
        <f>SUM(R141:R141)</f>
        <v>0</v>
      </c>
      <c r="S140" s="276">
        <f t="shared" si="108"/>
        <v>182850</v>
      </c>
      <c r="T140" s="277">
        <f t="shared" si="106"/>
        <v>181650</v>
      </c>
      <c r="U140" s="277">
        <f>E140+I140+M140+Q140</f>
        <v>145526</v>
      </c>
      <c r="V140" s="290">
        <f t="shared" si="111"/>
        <v>1200</v>
      </c>
    </row>
    <row r="141" spans="1:24" ht="13.5" customHeight="1" thickBot="1" x14ac:dyDescent="0.25">
      <c r="A141" s="103"/>
      <c r="B141" s="104" t="s">
        <v>174</v>
      </c>
      <c r="C141" s="216">
        <f t="shared" si="87"/>
        <v>171200</v>
      </c>
      <c r="D141" s="217">
        <f>SUM('prog-6'!D217)</f>
        <v>171200</v>
      </c>
      <c r="E141" s="422">
        <f>SUM('prog-6'!E217)</f>
        <v>139100</v>
      </c>
      <c r="F141" s="217">
        <f>SUM('prog-6'!F217)</f>
        <v>0</v>
      </c>
      <c r="G141" s="216">
        <f t="shared" si="109"/>
        <v>1650</v>
      </c>
      <c r="H141" s="297">
        <f>SUM('prog-6'!H217)</f>
        <v>1650</v>
      </c>
      <c r="I141" s="128">
        <f>SUM('prog-6'!I217)</f>
        <v>1626</v>
      </c>
      <c r="J141" s="318">
        <f>SUM('prog-6'!J217)</f>
        <v>0</v>
      </c>
      <c r="K141" s="216">
        <f t="shared" si="97"/>
        <v>10000</v>
      </c>
      <c r="L141" s="297">
        <f>SUM('prog-6'!L217)</f>
        <v>8800</v>
      </c>
      <c r="M141" s="128">
        <f>SUM('prog-6'!M217)</f>
        <v>4800</v>
      </c>
      <c r="N141" s="128">
        <f>SUM('prog-6'!N217)</f>
        <v>1200</v>
      </c>
      <c r="O141" s="315">
        <f t="shared" si="110"/>
        <v>0</v>
      </c>
      <c r="P141" s="217">
        <f>SUM('prog-6'!P217)</f>
        <v>0</v>
      </c>
      <c r="Q141" s="297">
        <f>SUM('prog-6'!Q217)</f>
        <v>0</v>
      </c>
      <c r="R141" s="298">
        <f>SUM('prog-6'!R217)</f>
        <v>0</v>
      </c>
      <c r="S141" s="295">
        <f t="shared" ref="S141:S158" si="112">T141+V141</f>
        <v>182850</v>
      </c>
      <c r="T141" s="288">
        <f t="shared" si="106"/>
        <v>181650</v>
      </c>
      <c r="U141" s="288">
        <f>E141+I141+M141</f>
        <v>145526</v>
      </c>
      <c r="V141" s="289">
        <f t="shared" si="111"/>
        <v>1200</v>
      </c>
    </row>
    <row r="142" spans="1:24" ht="13.5" customHeight="1" thickBot="1" x14ac:dyDescent="0.25">
      <c r="A142" s="96" t="s">
        <v>275</v>
      </c>
      <c r="B142" s="101" t="s">
        <v>34</v>
      </c>
      <c r="C142" s="319">
        <f>D142+F142</f>
        <v>136500</v>
      </c>
      <c r="D142" s="320">
        <f>SUM(D143)</f>
        <v>136500</v>
      </c>
      <c r="E142" s="423">
        <f>SUM(E143)</f>
        <v>127600</v>
      </c>
      <c r="F142" s="321">
        <f>SUM(F143)</f>
        <v>0</v>
      </c>
      <c r="G142" s="319">
        <f t="shared" si="109"/>
        <v>2030</v>
      </c>
      <c r="H142" s="320">
        <f>SUM(H143)</f>
        <v>2030</v>
      </c>
      <c r="I142" s="423">
        <f>SUM(I143)</f>
        <v>2000</v>
      </c>
      <c r="J142" s="321">
        <f>SUM(J143)</f>
        <v>0</v>
      </c>
      <c r="K142" s="319">
        <f t="shared" si="97"/>
        <v>15000</v>
      </c>
      <c r="L142" s="320">
        <f>SUM(L143)</f>
        <v>15000</v>
      </c>
      <c r="M142" s="423">
        <f>SUM(M143)</f>
        <v>0</v>
      </c>
      <c r="N142" s="431">
        <f>SUM(N143)</f>
        <v>0</v>
      </c>
      <c r="O142" s="319">
        <f t="shared" si="110"/>
        <v>0</v>
      </c>
      <c r="P142" s="320">
        <f>P143</f>
        <v>0</v>
      </c>
      <c r="Q142" s="321"/>
      <c r="R142" s="321">
        <f>R143</f>
        <v>0</v>
      </c>
      <c r="S142" s="276">
        <f t="shared" ref="S142:S151" si="113">T142+V142</f>
        <v>153530</v>
      </c>
      <c r="T142" s="277">
        <f t="shared" si="106"/>
        <v>153530</v>
      </c>
      <c r="U142" s="277">
        <f>E142+I142+M142+Q142</f>
        <v>129600</v>
      </c>
      <c r="V142" s="290">
        <f t="shared" si="111"/>
        <v>0</v>
      </c>
    </row>
    <row r="143" spans="1:24" ht="13.5" customHeight="1" thickBot="1" x14ac:dyDescent="0.25">
      <c r="A143" s="98"/>
      <c r="B143" s="106" t="s">
        <v>174</v>
      </c>
      <c r="C143" s="201">
        <f t="shared" si="87"/>
        <v>136500</v>
      </c>
      <c r="D143" s="202">
        <f>SUM('prog-6'!D220)</f>
        <v>136500</v>
      </c>
      <c r="E143" s="416">
        <f>SUM('prog-6'!E220)</f>
        <v>127600</v>
      </c>
      <c r="F143" s="202">
        <f>SUM('prog-6'!F220)</f>
        <v>0</v>
      </c>
      <c r="G143" s="201">
        <f t="shared" si="109"/>
        <v>2030</v>
      </c>
      <c r="H143" s="202">
        <f>SUM('prog-6'!H220)</f>
        <v>2030</v>
      </c>
      <c r="I143" s="416">
        <f>SUM('prog-6'!I220)</f>
        <v>2000</v>
      </c>
      <c r="J143" s="202">
        <f>SUM('prog-6'!J220)</f>
        <v>0</v>
      </c>
      <c r="K143" s="201">
        <f t="shared" si="97"/>
        <v>15000</v>
      </c>
      <c r="L143" s="202">
        <f>SUM('prog-6'!L220)</f>
        <v>15000</v>
      </c>
      <c r="M143" s="416">
        <f>SUM('prog-6'!M220)</f>
        <v>0</v>
      </c>
      <c r="N143" s="416">
        <f>SUM('prog-6'!N220)</f>
        <v>0</v>
      </c>
      <c r="O143" s="201">
        <f t="shared" si="110"/>
        <v>0</v>
      </c>
      <c r="P143" s="202">
        <f>SUM('prog-6'!P220)</f>
        <v>0</v>
      </c>
      <c r="Q143" s="202">
        <f>SUM('prog-6'!Q220)</f>
        <v>0</v>
      </c>
      <c r="R143" s="202">
        <f>SUM('prog-6'!R220)</f>
        <v>0</v>
      </c>
      <c r="S143" s="287">
        <f t="shared" si="113"/>
        <v>153530</v>
      </c>
      <c r="T143" s="288">
        <f t="shared" si="106"/>
        <v>153530</v>
      </c>
      <c r="U143" s="288">
        <f>E143+I143+M143</f>
        <v>129600</v>
      </c>
      <c r="V143" s="289">
        <f t="shared" si="111"/>
        <v>0</v>
      </c>
    </row>
    <row r="144" spans="1:24" ht="13.5" customHeight="1" thickBot="1" x14ac:dyDescent="0.25">
      <c r="A144" s="96" t="s">
        <v>276</v>
      </c>
      <c r="B144" s="101" t="s">
        <v>106</v>
      </c>
      <c r="C144" s="276">
        <f t="shared" si="87"/>
        <v>794100</v>
      </c>
      <c r="D144" s="277">
        <f>SUM(D145:D145)</f>
        <v>789100</v>
      </c>
      <c r="E144" s="415">
        <f>SUM(E145:E145)</f>
        <v>775900</v>
      </c>
      <c r="F144" s="293">
        <f>SUM(F145:F145)</f>
        <v>5000</v>
      </c>
      <c r="G144" s="276">
        <f t="shared" si="109"/>
        <v>275149.15000000002</v>
      </c>
      <c r="H144" s="277">
        <f>SUM(H145:H145)</f>
        <v>275149.15000000002</v>
      </c>
      <c r="I144" s="415">
        <f>SUM(I145:I145)</f>
        <v>259838.3</v>
      </c>
      <c r="J144" s="293">
        <f>SUM(J145:J145)</f>
        <v>0</v>
      </c>
      <c r="K144" s="276">
        <f t="shared" si="97"/>
        <v>430000</v>
      </c>
      <c r="L144" s="277">
        <f>SUM(L145:L145)</f>
        <v>430000</v>
      </c>
      <c r="M144" s="415">
        <f>SUM(M145:M145)</f>
        <v>156300</v>
      </c>
      <c r="N144" s="429">
        <f>SUM(N145:N145)</f>
        <v>0</v>
      </c>
      <c r="O144" s="276">
        <f t="shared" si="110"/>
        <v>0</v>
      </c>
      <c r="P144" s="277">
        <f>SUM(P145:P145)</f>
        <v>0</v>
      </c>
      <c r="Q144" s="293"/>
      <c r="R144" s="293">
        <f>SUM(R145:R145)</f>
        <v>0</v>
      </c>
      <c r="S144" s="276">
        <f t="shared" si="113"/>
        <v>1499249.15</v>
      </c>
      <c r="T144" s="277">
        <f t="shared" si="106"/>
        <v>1494249.15</v>
      </c>
      <c r="U144" s="277">
        <f>E144+I144+M144+Q144</f>
        <v>1192038.3</v>
      </c>
      <c r="V144" s="290">
        <f t="shared" si="111"/>
        <v>5000</v>
      </c>
      <c r="W144" s="146"/>
      <c r="X144" s="146"/>
    </row>
    <row r="145" spans="1:22" ht="13.5" customHeight="1" thickBot="1" x14ac:dyDescent="0.25">
      <c r="A145" s="98"/>
      <c r="B145" s="104" t="s">
        <v>326</v>
      </c>
      <c r="C145" s="281">
        <f t="shared" ref="C145:C158" si="114">D145+F145</f>
        <v>794100</v>
      </c>
      <c r="D145" s="280">
        <f>SUM('prog-6'!D259)</f>
        <v>789100</v>
      </c>
      <c r="E145" s="418">
        <f>SUM('prog-6'!E259)</f>
        <v>775900</v>
      </c>
      <c r="F145" s="280">
        <f>SUM('prog-6'!F259)</f>
        <v>5000</v>
      </c>
      <c r="G145" s="281">
        <f t="shared" si="109"/>
        <v>275149.15000000002</v>
      </c>
      <c r="H145" s="280">
        <f>SUM('prog-6'!H259)</f>
        <v>275149.15000000002</v>
      </c>
      <c r="I145" s="418">
        <f>SUM('prog-6'!I259)</f>
        <v>259838.3</v>
      </c>
      <c r="J145" s="280">
        <f>SUM('prog-6'!J259)</f>
        <v>0</v>
      </c>
      <c r="K145" s="281">
        <f t="shared" si="97"/>
        <v>430000</v>
      </c>
      <c r="L145" s="280">
        <f>SUM('prog-6'!L259)</f>
        <v>430000</v>
      </c>
      <c r="M145" s="418">
        <f>SUM('prog-6'!M259)</f>
        <v>156300</v>
      </c>
      <c r="N145" s="418">
        <f>SUM('prog-6'!N259)</f>
        <v>0</v>
      </c>
      <c r="O145" s="201">
        <f t="shared" si="110"/>
        <v>0</v>
      </c>
      <c r="P145" s="280">
        <f>SUM('prog-6'!P259)</f>
        <v>0</v>
      </c>
      <c r="Q145" s="280">
        <f>SUM('prog-6'!Q259)</f>
        <v>0</v>
      </c>
      <c r="R145" s="280">
        <f>SUM('prog-6'!R259)</f>
        <v>0</v>
      </c>
      <c r="S145" s="287">
        <f t="shared" si="113"/>
        <v>1499249.15</v>
      </c>
      <c r="T145" s="288">
        <f t="shared" si="106"/>
        <v>1494249.15</v>
      </c>
      <c r="U145" s="288">
        <f>E145+I145+M145</f>
        <v>1192038.3</v>
      </c>
      <c r="V145" s="289">
        <f t="shared" si="111"/>
        <v>5000</v>
      </c>
    </row>
    <row r="146" spans="1:22" ht="13.5" customHeight="1" thickBot="1" x14ac:dyDescent="0.25">
      <c r="A146" s="96" t="s">
        <v>277</v>
      </c>
      <c r="B146" s="101" t="s">
        <v>412</v>
      </c>
      <c r="C146" s="276">
        <f t="shared" si="114"/>
        <v>777000</v>
      </c>
      <c r="D146" s="277">
        <f>D147</f>
        <v>777000</v>
      </c>
      <c r="E146" s="415">
        <f>E147</f>
        <v>432500</v>
      </c>
      <c r="F146" s="277">
        <f>F147</f>
        <v>0</v>
      </c>
      <c r="G146" s="276">
        <f t="shared" si="109"/>
        <v>8400</v>
      </c>
      <c r="H146" s="277">
        <f>H147</f>
        <v>8400</v>
      </c>
      <c r="I146" s="415">
        <f>I147</f>
        <v>7000</v>
      </c>
      <c r="J146" s="293">
        <f>J147</f>
        <v>0</v>
      </c>
      <c r="K146" s="276">
        <f t="shared" si="97"/>
        <v>40000</v>
      </c>
      <c r="L146" s="277">
        <f>L147</f>
        <v>40000</v>
      </c>
      <c r="M146" s="415">
        <f>M147</f>
        <v>0</v>
      </c>
      <c r="N146" s="429">
        <f>N147</f>
        <v>0</v>
      </c>
      <c r="O146" s="276">
        <f t="shared" si="110"/>
        <v>0</v>
      </c>
      <c r="P146" s="277">
        <f>P147</f>
        <v>0</v>
      </c>
      <c r="Q146" s="293"/>
      <c r="R146" s="293">
        <f>R147</f>
        <v>0</v>
      </c>
      <c r="S146" s="276">
        <f t="shared" si="113"/>
        <v>825400</v>
      </c>
      <c r="T146" s="277">
        <f t="shared" si="106"/>
        <v>825400</v>
      </c>
      <c r="U146" s="277">
        <f>E146+I146+M146+Q146</f>
        <v>439500</v>
      </c>
      <c r="V146" s="290">
        <f t="shared" si="111"/>
        <v>0</v>
      </c>
    </row>
    <row r="147" spans="1:22" ht="13.5" customHeight="1" thickBot="1" x14ac:dyDescent="0.25">
      <c r="A147" s="98"/>
      <c r="B147" s="106" t="s">
        <v>326</v>
      </c>
      <c r="C147" s="201">
        <f t="shared" si="114"/>
        <v>777000</v>
      </c>
      <c r="D147" s="202">
        <f>SUM('prog-6'!D264)</f>
        <v>777000</v>
      </c>
      <c r="E147" s="416">
        <f>SUM('prog-6'!E264)</f>
        <v>432500</v>
      </c>
      <c r="F147" s="202">
        <f>SUM('prog-6'!F264)</f>
        <v>0</v>
      </c>
      <c r="G147" s="201">
        <f t="shared" si="109"/>
        <v>8400</v>
      </c>
      <c r="H147" s="202">
        <f>SUM('prog-6'!H264)</f>
        <v>8400</v>
      </c>
      <c r="I147" s="416">
        <f>SUM('prog-6'!I264)</f>
        <v>7000</v>
      </c>
      <c r="J147" s="202">
        <f>SUM('prog-6'!J264)</f>
        <v>0</v>
      </c>
      <c r="K147" s="201">
        <f t="shared" si="97"/>
        <v>40000</v>
      </c>
      <c r="L147" s="202">
        <f>SUM('prog-6'!L264)</f>
        <v>40000</v>
      </c>
      <c r="M147" s="416">
        <f>SUM('prog-6'!M264)</f>
        <v>0</v>
      </c>
      <c r="N147" s="416">
        <f>SUM('prog-6'!N264)</f>
        <v>0</v>
      </c>
      <c r="O147" s="201">
        <f t="shared" si="110"/>
        <v>0</v>
      </c>
      <c r="P147" s="202">
        <f>SUM('prog-6'!P264)</f>
        <v>0</v>
      </c>
      <c r="Q147" s="202">
        <f>SUM('prog-6'!Q264)</f>
        <v>0</v>
      </c>
      <c r="R147" s="202">
        <f>SUM('prog-6'!R264)</f>
        <v>0</v>
      </c>
      <c r="S147" s="287">
        <f t="shared" si="113"/>
        <v>825400</v>
      </c>
      <c r="T147" s="288">
        <f t="shared" si="106"/>
        <v>825400</v>
      </c>
      <c r="U147" s="288">
        <f>E147+I147+M147</f>
        <v>439500</v>
      </c>
      <c r="V147" s="289">
        <f t="shared" si="111"/>
        <v>0</v>
      </c>
    </row>
    <row r="148" spans="1:22" ht="13.5" customHeight="1" thickBot="1" x14ac:dyDescent="0.25">
      <c r="A148" s="96" t="s">
        <v>278</v>
      </c>
      <c r="B148" s="101" t="s">
        <v>286</v>
      </c>
      <c r="C148" s="276">
        <f t="shared" si="114"/>
        <v>6300</v>
      </c>
      <c r="D148" s="277">
        <f>D149</f>
        <v>6300</v>
      </c>
      <c r="E148" s="415">
        <f>E149</f>
        <v>1000</v>
      </c>
      <c r="F148" s="293">
        <f>F149</f>
        <v>0</v>
      </c>
      <c r="G148" s="276">
        <f t="shared" si="109"/>
        <v>328400</v>
      </c>
      <c r="H148" s="277">
        <f>H149</f>
        <v>328400</v>
      </c>
      <c r="I148" s="415">
        <f>I149</f>
        <v>229000</v>
      </c>
      <c r="J148" s="293">
        <f>J149</f>
        <v>0</v>
      </c>
      <c r="K148" s="276">
        <f t="shared" si="97"/>
        <v>6680.54</v>
      </c>
      <c r="L148" s="277">
        <f>L149</f>
        <v>6680.54</v>
      </c>
      <c r="M148" s="415">
        <f>M149</f>
        <v>3000</v>
      </c>
      <c r="N148" s="429">
        <f>N149</f>
        <v>0</v>
      </c>
      <c r="O148" s="276">
        <f>P148+R148</f>
        <v>0</v>
      </c>
      <c r="P148" s="277">
        <f>P149</f>
        <v>0</v>
      </c>
      <c r="Q148" s="293"/>
      <c r="R148" s="293">
        <f>R149</f>
        <v>0</v>
      </c>
      <c r="S148" s="276">
        <f t="shared" si="113"/>
        <v>341380.54</v>
      </c>
      <c r="T148" s="277">
        <f t="shared" si="106"/>
        <v>341380.54</v>
      </c>
      <c r="U148" s="277">
        <f>E148+I148+M148+Q148</f>
        <v>233000</v>
      </c>
      <c r="V148" s="290">
        <f t="shared" si="111"/>
        <v>0</v>
      </c>
    </row>
    <row r="149" spans="1:22" ht="13.5" customHeight="1" thickBot="1" x14ac:dyDescent="0.25">
      <c r="A149" s="98"/>
      <c r="B149" s="106" t="s">
        <v>327</v>
      </c>
      <c r="C149" s="315">
        <f t="shared" si="114"/>
        <v>6300</v>
      </c>
      <c r="D149" s="297">
        <f>SUM('prog-6'!D310)</f>
        <v>6300</v>
      </c>
      <c r="E149" s="424">
        <f>SUM('prog-6'!E310)</f>
        <v>1000</v>
      </c>
      <c r="F149" s="297">
        <f>SUM('prog-6'!F310)</f>
        <v>0</v>
      </c>
      <c r="G149" s="315">
        <f t="shared" si="109"/>
        <v>328400</v>
      </c>
      <c r="H149" s="297">
        <f>SUM('prog-6'!H310)</f>
        <v>328400</v>
      </c>
      <c r="I149" s="424">
        <f>SUM('prog-6'!I310)</f>
        <v>229000</v>
      </c>
      <c r="J149" s="297">
        <f>SUM('prog-6'!J310)</f>
        <v>0</v>
      </c>
      <c r="K149" s="315">
        <f t="shared" si="97"/>
        <v>6680.54</v>
      </c>
      <c r="L149" s="297">
        <f>SUM('prog-6'!L310)</f>
        <v>6680.54</v>
      </c>
      <c r="M149" s="424">
        <f>SUM('prog-6'!M310)</f>
        <v>3000</v>
      </c>
      <c r="N149" s="424">
        <f>SUM('prog-6'!N310)</f>
        <v>0</v>
      </c>
      <c r="O149" s="315">
        <f t="shared" si="110"/>
        <v>0</v>
      </c>
      <c r="P149" s="297">
        <f>SUM('prog-6'!P310)</f>
        <v>0</v>
      </c>
      <c r="Q149" s="297">
        <f>SUM('prog-6'!Q310)</f>
        <v>0</v>
      </c>
      <c r="R149" s="297">
        <f>SUM('prog-6'!R310)</f>
        <v>0</v>
      </c>
      <c r="S149" s="287">
        <f t="shared" si="113"/>
        <v>341380.54</v>
      </c>
      <c r="T149" s="288">
        <f t="shared" si="106"/>
        <v>341380.54</v>
      </c>
      <c r="U149" s="288">
        <f>E149+I149+M149</f>
        <v>233000</v>
      </c>
      <c r="V149" s="289">
        <f t="shared" si="111"/>
        <v>0</v>
      </c>
    </row>
    <row r="150" spans="1:22" ht="13.5" customHeight="1" thickBot="1" x14ac:dyDescent="0.25">
      <c r="A150" s="96" t="s">
        <v>279</v>
      </c>
      <c r="B150" s="101" t="s">
        <v>378</v>
      </c>
      <c r="C150" s="276">
        <f t="shared" si="114"/>
        <v>1183000</v>
      </c>
      <c r="D150" s="277">
        <f>SUM(D151:D152)</f>
        <v>1183000</v>
      </c>
      <c r="E150" s="415">
        <f t="shared" ref="E150:F150" si="115">SUM(E151:E152)</f>
        <v>585100</v>
      </c>
      <c r="F150" s="277">
        <f t="shared" si="115"/>
        <v>0</v>
      </c>
      <c r="G150" s="276">
        <f t="shared" si="109"/>
        <v>341200</v>
      </c>
      <c r="H150" s="277">
        <f>SUM(H151:H152)</f>
        <v>341200</v>
      </c>
      <c r="I150" s="415">
        <f t="shared" ref="I150" si="116">SUM(I151:I152)</f>
        <v>269100</v>
      </c>
      <c r="J150" s="277">
        <f t="shared" ref="J150" si="117">SUM(J151:J152)</f>
        <v>0</v>
      </c>
      <c r="K150" s="276">
        <f t="shared" si="97"/>
        <v>96668.13</v>
      </c>
      <c r="L150" s="277">
        <f>SUM(L151:L152)</f>
        <v>94568.13</v>
      </c>
      <c r="M150" s="415">
        <f t="shared" ref="M150" si="118">SUM(M151:M152)</f>
        <v>13100</v>
      </c>
      <c r="N150" s="415">
        <f t="shared" ref="N150" si="119">SUM(N151:N152)</f>
        <v>2100</v>
      </c>
      <c r="O150" s="276">
        <f>P150+R150</f>
        <v>0</v>
      </c>
      <c r="P150" s="277">
        <f>SUM(P151:P152)</f>
        <v>0</v>
      </c>
      <c r="Q150" s="277">
        <f t="shared" ref="Q150" si="120">SUM(Q151:Q152)</f>
        <v>0</v>
      </c>
      <c r="R150" s="277">
        <f t="shared" ref="R150" si="121">SUM(R151:R152)</f>
        <v>0</v>
      </c>
      <c r="S150" s="276">
        <f t="shared" si="113"/>
        <v>1620868.13</v>
      </c>
      <c r="T150" s="277">
        <f t="shared" si="106"/>
        <v>1618768.13</v>
      </c>
      <c r="U150" s="277">
        <f>E150+I150+M150+Q150</f>
        <v>867300</v>
      </c>
      <c r="V150" s="290">
        <f t="shared" si="111"/>
        <v>2100</v>
      </c>
    </row>
    <row r="151" spans="1:22" ht="13.5" customHeight="1" x14ac:dyDescent="0.2">
      <c r="A151" s="84"/>
      <c r="B151" s="102" t="s">
        <v>154</v>
      </c>
      <c r="C151" s="185">
        <f t="shared" si="114"/>
        <v>0</v>
      </c>
      <c r="D151" s="186">
        <f>SUM('prog-6'!D34)</f>
        <v>0</v>
      </c>
      <c r="E151" s="419">
        <f>SUM('prog-6'!E34)</f>
        <v>0</v>
      </c>
      <c r="F151" s="186">
        <f>SUM('prog-6'!F34)</f>
        <v>0</v>
      </c>
      <c r="G151" s="185">
        <f t="shared" si="109"/>
        <v>87000</v>
      </c>
      <c r="H151" s="186">
        <f>SUM('prog-6'!H34)</f>
        <v>87000</v>
      </c>
      <c r="I151" s="419">
        <f>SUM('prog-6'!I34)</f>
        <v>23000</v>
      </c>
      <c r="J151" s="186">
        <f>SUM('prog-6'!J34)</f>
        <v>0</v>
      </c>
      <c r="K151" s="185">
        <f t="shared" si="97"/>
        <v>0</v>
      </c>
      <c r="L151" s="186">
        <f>SUM('prog-6'!L34)</f>
        <v>0</v>
      </c>
      <c r="M151" s="419">
        <f>SUM('prog-6'!M34)</f>
        <v>0</v>
      </c>
      <c r="N151" s="419">
        <f>SUM('prog-6'!N34)</f>
        <v>0</v>
      </c>
      <c r="O151" s="185">
        <f t="shared" ref="O151" si="122">P151+R151</f>
        <v>0</v>
      </c>
      <c r="P151" s="186">
        <f>SUM('prog-6'!P34)</f>
        <v>0</v>
      </c>
      <c r="Q151" s="186">
        <f>SUM('prog-6'!Q34)</f>
        <v>0</v>
      </c>
      <c r="R151" s="186">
        <f>SUM('prog-6'!R34)</f>
        <v>0</v>
      </c>
      <c r="S151" s="287">
        <f t="shared" si="113"/>
        <v>87000</v>
      </c>
      <c r="T151" s="288">
        <f t="shared" si="106"/>
        <v>87000</v>
      </c>
      <c r="U151" s="288">
        <f>E151+I151+M151</f>
        <v>23000</v>
      </c>
      <c r="V151" s="289">
        <f t="shared" si="111"/>
        <v>0</v>
      </c>
    </row>
    <row r="152" spans="1:22" ht="13.5" customHeight="1" thickBot="1" x14ac:dyDescent="0.25">
      <c r="A152" s="98"/>
      <c r="B152" s="106" t="s">
        <v>326</v>
      </c>
      <c r="C152" s="201">
        <f t="shared" si="114"/>
        <v>1183000</v>
      </c>
      <c r="D152" s="202">
        <f>SUM('prog-6'!D268)</f>
        <v>1183000</v>
      </c>
      <c r="E152" s="416">
        <f>SUM('prog-6'!E268)</f>
        <v>585100</v>
      </c>
      <c r="F152" s="202">
        <f>SUM('prog-6'!F268)</f>
        <v>0</v>
      </c>
      <c r="G152" s="201">
        <f t="shared" si="109"/>
        <v>254200</v>
      </c>
      <c r="H152" s="202">
        <f>SUM('prog-6'!H268)</f>
        <v>254200</v>
      </c>
      <c r="I152" s="416">
        <f>SUM('prog-6'!I268)</f>
        <v>246100</v>
      </c>
      <c r="J152" s="202">
        <f>SUM('prog-6'!J268)</f>
        <v>0</v>
      </c>
      <c r="K152" s="201">
        <f t="shared" si="97"/>
        <v>96668.13</v>
      </c>
      <c r="L152" s="202">
        <f>SUM('prog-6'!L268)</f>
        <v>94568.13</v>
      </c>
      <c r="M152" s="416">
        <f>SUM('prog-6'!M268)</f>
        <v>13100</v>
      </c>
      <c r="N152" s="416">
        <f>SUM('prog-6'!N268)</f>
        <v>2100</v>
      </c>
      <c r="O152" s="201">
        <f t="shared" si="110"/>
        <v>0</v>
      </c>
      <c r="P152" s="202">
        <f>SUM('prog-6'!P268)</f>
        <v>0</v>
      </c>
      <c r="Q152" s="202">
        <f>SUM('prog-6'!Q268)</f>
        <v>0</v>
      </c>
      <c r="R152" s="202">
        <f>SUM('prog-6'!R268)</f>
        <v>0</v>
      </c>
      <c r="S152" s="281">
        <f t="shared" ref="S152" si="123">T152+V152</f>
        <v>1533868.13</v>
      </c>
      <c r="T152" s="280">
        <f t="shared" si="106"/>
        <v>1531768.13</v>
      </c>
      <c r="U152" s="280">
        <f>E152+I152+M152+Q152</f>
        <v>844300</v>
      </c>
      <c r="V152" s="292">
        <f t="shared" si="111"/>
        <v>2100</v>
      </c>
    </row>
    <row r="153" spans="1:22" ht="13.5" customHeight="1" thickBot="1" x14ac:dyDescent="0.25">
      <c r="A153" s="110" t="s">
        <v>281</v>
      </c>
      <c r="B153" s="101" t="s">
        <v>287</v>
      </c>
      <c r="C153" s="276">
        <f t="shared" si="114"/>
        <v>27100</v>
      </c>
      <c r="D153" s="277">
        <f>SUM(D154:D154)</f>
        <v>26200</v>
      </c>
      <c r="E153" s="415">
        <f>SUM(E154:E154)</f>
        <v>24200</v>
      </c>
      <c r="F153" s="290">
        <f>SUM(F154:F154)</f>
        <v>900</v>
      </c>
      <c r="G153" s="276">
        <f t="shared" si="109"/>
        <v>666100</v>
      </c>
      <c r="H153" s="277">
        <f>SUM(H154:H154)</f>
        <v>666100</v>
      </c>
      <c r="I153" s="415">
        <f>SUM(I154:I154)</f>
        <v>630000</v>
      </c>
      <c r="J153" s="290">
        <f>SUM(J154:J154)</f>
        <v>0</v>
      </c>
      <c r="K153" s="276">
        <f t="shared" si="97"/>
        <v>0</v>
      </c>
      <c r="L153" s="277">
        <f>SUM(L154:L154)</f>
        <v>0</v>
      </c>
      <c r="M153" s="277">
        <f>SUM(M154:M154)</f>
        <v>0</v>
      </c>
      <c r="N153" s="290">
        <f>SUM(N154:N154)</f>
        <v>0</v>
      </c>
      <c r="O153" s="276">
        <f>P153+R153</f>
        <v>0</v>
      </c>
      <c r="P153" s="277">
        <f>SUM(P154:P154)</f>
        <v>0</v>
      </c>
      <c r="Q153" s="293"/>
      <c r="R153" s="290">
        <f>SUM(R154:R154)</f>
        <v>0</v>
      </c>
      <c r="S153" s="276">
        <f>T153+V153</f>
        <v>693200</v>
      </c>
      <c r="T153" s="277">
        <f t="shared" si="106"/>
        <v>692300</v>
      </c>
      <c r="U153" s="277">
        <f>E153+I153+M153+Q153</f>
        <v>654200</v>
      </c>
      <c r="V153" s="290">
        <f t="shared" si="111"/>
        <v>900</v>
      </c>
    </row>
    <row r="154" spans="1:22" ht="13.5" customHeight="1" thickBot="1" x14ac:dyDescent="0.25">
      <c r="A154" s="111"/>
      <c r="B154" s="152" t="s">
        <v>329</v>
      </c>
      <c r="C154" s="216">
        <f t="shared" si="114"/>
        <v>27100</v>
      </c>
      <c r="D154" s="217">
        <f>SUM('prog-6'!D538)</f>
        <v>26200</v>
      </c>
      <c r="E154" s="128">
        <f>SUM('prog-6'!E538)</f>
        <v>24200</v>
      </c>
      <c r="F154" s="217">
        <f>SUM('prog-6'!F538)</f>
        <v>900</v>
      </c>
      <c r="G154" s="216">
        <f t="shared" si="109"/>
        <v>666100</v>
      </c>
      <c r="H154" s="217">
        <f>SUM('prog-6'!H538)</f>
        <v>666100</v>
      </c>
      <c r="I154" s="128">
        <f>SUM('prog-6'!I538)</f>
        <v>630000</v>
      </c>
      <c r="J154" s="217">
        <f>SUM('prog-6'!J538)</f>
        <v>0</v>
      </c>
      <c r="K154" s="216">
        <f t="shared" si="97"/>
        <v>0</v>
      </c>
      <c r="L154" s="217">
        <f>SUM('prog-6'!L538)</f>
        <v>0</v>
      </c>
      <c r="M154" s="217">
        <f>SUM('prog-6'!M538)</f>
        <v>0</v>
      </c>
      <c r="N154" s="217">
        <f>SUM('prog-6'!N538)</f>
        <v>0</v>
      </c>
      <c r="O154" s="322">
        <f t="shared" si="110"/>
        <v>0</v>
      </c>
      <c r="P154" s="217">
        <f>SUM('prog-6'!P538)</f>
        <v>0</v>
      </c>
      <c r="Q154" s="217">
        <f>SUM('prog-6'!Q538)</f>
        <v>0</v>
      </c>
      <c r="R154" s="217">
        <f>SUM('prog-6'!R538)</f>
        <v>0</v>
      </c>
      <c r="S154" s="287">
        <f>T154+V154</f>
        <v>693200</v>
      </c>
      <c r="T154" s="288">
        <f t="shared" si="106"/>
        <v>692300</v>
      </c>
      <c r="U154" s="288">
        <f>E154+I154+M154</f>
        <v>654200</v>
      </c>
      <c r="V154" s="289">
        <f t="shared" si="111"/>
        <v>900</v>
      </c>
    </row>
    <row r="155" spans="1:22" ht="13.5" customHeight="1" thickBot="1" x14ac:dyDescent="0.25">
      <c r="A155" s="110" t="s">
        <v>282</v>
      </c>
      <c r="B155" s="154" t="s">
        <v>414</v>
      </c>
      <c r="C155" s="276">
        <f t="shared" ref="C155:C156" si="124">D155+F155</f>
        <v>272900</v>
      </c>
      <c r="D155" s="277">
        <f>SUM(D156:D156)</f>
        <v>272000</v>
      </c>
      <c r="E155" s="415">
        <f>SUM(E156:E156)</f>
        <v>260000</v>
      </c>
      <c r="F155" s="290">
        <f>SUM(F156:F156)</f>
        <v>900</v>
      </c>
      <c r="G155" s="276">
        <f t="shared" ref="G155:G156" si="125">H155+J155</f>
        <v>0</v>
      </c>
      <c r="H155" s="277">
        <f>SUM(H156:H156)</f>
        <v>0</v>
      </c>
      <c r="I155" s="415">
        <f>SUM(I156:I156)</f>
        <v>0</v>
      </c>
      <c r="J155" s="290">
        <f>SUM(J156:J156)</f>
        <v>0</v>
      </c>
      <c r="K155" s="276">
        <f t="shared" ref="K155:K156" si="126">L155+N155</f>
        <v>0</v>
      </c>
      <c r="L155" s="277">
        <f>SUM(L156:L156)</f>
        <v>0</v>
      </c>
      <c r="M155" s="277">
        <f>SUM(M156:M156)</f>
        <v>0</v>
      </c>
      <c r="N155" s="290">
        <f>SUM(N156:N156)</f>
        <v>0</v>
      </c>
      <c r="O155" s="276">
        <f>P155+R155</f>
        <v>0</v>
      </c>
      <c r="P155" s="277">
        <f>SUM(P156:P156)</f>
        <v>0</v>
      </c>
      <c r="Q155" s="293"/>
      <c r="R155" s="290">
        <f>SUM(R156:R156)</f>
        <v>0</v>
      </c>
      <c r="S155" s="276">
        <f>T155+V155</f>
        <v>272900</v>
      </c>
      <c r="T155" s="277">
        <f t="shared" si="106"/>
        <v>272000</v>
      </c>
      <c r="U155" s="277">
        <f>E155+I155+M155+Q155</f>
        <v>260000</v>
      </c>
      <c r="V155" s="290">
        <f t="shared" si="111"/>
        <v>900</v>
      </c>
    </row>
    <row r="156" spans="1:22" ht="13.5" customHeight="1" thickBot="1" x14ac:dyDescent="0.25">
      <c r="A156" s="111"/>
      <c r="B156" s="152" t="s">
        <v>329</v>
      </c>
      <c r="C156" s="216">
        <f t="shared" si="124"/>
        <v>272900</v>
      </c>
      <c r="D156" s="217">
        <f>SUM('prog-6'!D537)</f>
        <v>272000</v>
      </c>
      <c r="E156" s="128">
        <f>SUM('prog-6'!E537)</f>
        <v>260000</v>
      </c>
      <c r="F156" s="217">
        <f>SUM('prog-6'!F537)</f>
        <v>900</v>
      </c>
      <c r="G156" s="216">
        <f t="shared" si="125"/>
        <v>0</v>
      </c>
      <c r="H156" s="217">
        <f>SUM('prog-6'!H537)</f>
        <v>0</v>
      </c>
      <c r="I156" s="128">
        <f>SUM('prog-6'!I537)</f>
        <v>0</v>
      </c>
      <c r="J156" s="217">
        <f>SUM('prog-6'!J537)</f>
        <v>0</v>
      </c>
      <c r="K156" s="216">
        <f t="shared" si="126"/>
        <v>0</v>
      </c>
      <c r="L156" s="217">
        <f>SUM('prog-6'!L537)</f>
        <v>0</v>
      </c>
      <c r="M156" s="217">
        <f>SUM('prog-6'!M537)</f>
        <v>0</v>
      </c>
      <c r="N156" s="217">
        <f>SUM('prog-6'!N537)</f>
        <v>0</v>
      </c>
      <c r="O156" s="322">
        <f t="shared" ref="O156" si="127">P156+R156</f>
        <v>0</v>
      </c>
      <c r="P156" s="217">
        <f>SUM('prog-6'!P537)</f>
        <v>0</v>
      </c>
      <c r="Q156" s="217">
        <f>SUM('prog-6'!Q537)</f>
        <v>0</v>
      </c>
      <c r="R156" s="217">
        <f>SUM('prog-6'!R537)</f>
        <v>0</v>
      </c>
      <c r="S156" s="287">
        <f>T156+V156</f>
        <v>272900</v>
      </c>
      <c r="T156" s="288">
        <f t="shared" si="106"/>
        <v>272000</v>
      </c>
      <c r="U156" s="297">
        <f>E156+I156+M156</f>
        <v>260000</v>
      </c>
      <c r="V156" s="298">
        <f t="shared" si="111"/>
        <v>900</v>
      </c>
    </row>
    <row r="157" spans="1:22" ht="16.5" customHeight="1" thickBot="1" x14ac:dyDescent="0.25">
      <c r="A157" s="126" t="s">
        <v>283</v>
      </c>
      <c r="B157" s="127" t="s">
        <v>288</v>
      </c>
      <c r="C157" s="212">
        <f t="shared" si="114"/>
        <v>19297848.629999999</v>
      </c>
      <c r="D157" s="213">
        <f>SUM(D13,D15,D23,D27,D31,D35,D39,D43,D47,D51,D55,D59,D63,D67,D70,D74,D77,D80,D83,D86,D89,D91,D95,D98,D101,D104,D107,D110,D113,D116,D119,D122,D124,D127,D130,D132,D134,D136,D138,D140,D142,D144,D146,D148,D150,D153,D155)</f>
        <v>17526440.629999999</v>
      </c>
      <c r="E157" s="425">
        <f>SUM(E13,E15,E23,E27,E31,E35,E39,E43,E47,E51,E55,E59,E63,E67,E70,E74,E77,E80,E83,E86,E89,E91,E95,E98,E101,E104,E107,E110,E113,E116,E119,E122,E124,E127,E130,E132,E134,E136,E138,E140,E142,E144,E146,E148,E150,E153,E155)</f>
        <v>10379610</v>
      </c>
      <c r="F157" s="425">
        <f>SUM(F13,F15,F23,F27,F31,F35,F39,F43,F47,F51,F55,F59,F63,F67,F70,F74,F77,F80,F83,F86,F89,F91,F95,F98,F101,F104,F107,F110,F113,F116,F119,F122,F124,F127,F130,F132,F134,F136,F138,F140,F142,F144,F146,F148,F150,F153,F155)</f>
        <v>1771408</v>
      </c>
      <c r="G157" s="212">
        <f t="shared" si="109"/>
        <v>13125067</v>
      </c>
      <c r="H157" s="213">
        <f>SUM(H13,H15,H23,H27,H31,H35,H39,H43,H47,H51,H55,H59,H63,H67,H70,H74,H77,H80,H83,H86,H89,H91,H95,H98,H101,H104,H107,H110,H113,H116,H119,H122,H124,H127,H130,H132,H134,H136,H138,H140,H142,H144,H146,H148,H150,H153,H155)</f>
        <v>11897412.689999999</v>
      </c>
      <c r="I157" s="425">
        <f>SUM(I13,I15,I23,I27,I31,I35,I39,I43,I47,I51,I55,I59,I63,I67,I70,I74,I77,I80,I83,I86,I89,I91,I95,I98,I101,I104,I107,I110,I113,I116,I119,I122,I124,I127,I130,I132,I134,I136,I138,I140,I142,I144,I146,I148,I150,I153,I155)</f>
        <v>9146655.3999999985</v>
      </c>
      <c r="J157" s="213">
        <f>SUM(J13,J15,J23,J27,J31,J35,J39,J43,J47,J51,J55,J59,J63,J67,J70,J74,J77,J80,J83,J86,J89,J91,J95,J98,J101,J104,J107,J110,J113,J116,J119,J122,J124,J127,J130,J132,J134,J136,J138,J140,J142,J144,J146,J148,J150,J153,J155)</f>
        <v>1227654.3099999998</v>
      </c>
      <c r="K157" s="212">
        <f t="shared" si="97"/>
        <v>1089670.17</v>
      </c>
      <c r="L157" s="213">
        <f>SUM(L13,L15,L23,L27,L31,L35,L39,L43,L47,L51,L55,L59,L63,L67,L70,L74,L77,L80,L83,L86,L89,L91,L95,L98,L101,L104,L107,L110,L113,L116,L119,L122,L124,L127,L130,L132,L134,L136,L138,L140,L142,L144,L146,L148,L150,L153,L155)</f>
        <v>1079861.8199999998</v>
      </c>
      <c r="M157" s="425">
        <f>SUM(M13,M15,M23,M27,M31,M35,M39,M43,M47,M51,M55,M59,M63,M67,M70,M74,M77,M80,M83,M86,M89,M91,M95,M98,M101,M104,M107,M110,M113,M116,M119,M122,M124,M127,M130,M132,M134,M136,M138,M140,M142,M144,M146,M148,M150,M153,M155)</f>
        <v>177200</v>
      </c>
      <c r="N157" s="213">
        <f>SUM(N13,N15,N23,N27,N31,N35,N39,N43,N47,N51,N55,N59,N63,N67,N70,N74,N77,N80,N83,N86,N89,N91,N95,N98,N101,N104,N107,N110,N113,N116,N119,N122,N124,N127,N130,N132,N134,N136,N138,N140,N142,N144,N146,N148,N150,N153,N155)</f>
        <v>9808.35</v>
      </c>
      <c r="O157" s="212">
        <f>P157+R157</f>
        <v>1104095.76</v>
      </c>
      <c r="P157" s="213">
        <f>SUM(P13,P15,P23,P27,P31,P35,P39,P43,P47,P51,P55,P59,P63,P67,P70,P74,P77,P80,P83,P86,P89,P91,P95,P98,P101,P104,P107,P110,P113,P116,P119,P122,P124,P127,P130,P132,P134,P136,P138,P140,P142,P144,P146,P148,P150,P153,P155)</f>
        <v>0</v>
      </c>
      <c r="Q157" s="213">
        <f>SUM(Q13,Q15,Q23,Q27,Q31,Q35,Q39,Q43,Q47,Q51,Q55,Q59,Q63,Q67,Q70,Q74,Q77,Q80,Q83,Q86,Q89,Q91,Q95,Q98,Q101,Q104,Q107,Q110,Q113,Q116,Q119,Q122,Q124,Q127,Q130,Q132,Q134,Q136,Q138,Q140,Q142,Q144,Q146,Q148,Q150,Q153,Q155)</f>
        <v>0</v>
      </c>
      <c r="R157" s="213">
        <f>SUM(R13,R15,R23,R27,R31,R35,R39,R43,R47,R51,R55,R59,R63,R67,R70,R74,R77,R80,R83,R86,R89,R91,R95,R98,R101,R104,R107,R110,R113,R116,R119,R122,R124,R127,R130,R132,R134,R136,R138,R140,R142,R144,R146,R148,R150,R153,R155)</f>
        <v>1104095.76</v>
      </c>
      <c r="S157" s="199">
        <f t="shared" si="112"/>
        <v>34616681.560000002</v>
      </c>
      <c r="T157" s="200">
        <f t="shared" si="106"/>
        <v>30503715.140000001</v>
      </c>
      <c r="U157" s="213">
        <f>E157+I157+M157+Q157</f>
        <v>19703465.399999999</v>
      </c>
      <c r="V157" s="282">
        <f t="shared" si="111"/>
        <v>4112966.42</v>
      </c>
    </row>
    <row r="158" spans="1:22" ht="26.25" thickBot="1" x14ac:dyDescent="0.25">
      <c r="A158" s="134" t="s">
        <v>284</v>
      </c>
      <c r="B158" s="131" t="s">
        <v>374</v>
      </c>
      <c r="C158" s="201">
        <f t="shared" si="114"/>
        <v>837100</v>
      </c>
      <c r="D158" s="202">
        <f>SUM('prog-6'!D541)</f>
        <v>0</v>
      </c>
      <c r="E158" s="416">
        <f>SUM('prog-6'!E541)</f>
        <v>0</v>
      </c>
      <c r="F158" s="432">
        <f>SUM('prog-6'!F541)</f>
        <v>837100</v>
      </c>
      <c r="G158" s="209">
        <f t="shared" si="109"/>
        <v>0</v>
      </c>
      <c r="H158" s="202">
        <f>SUM('prog-6'!H541)</f>
        <v>0</v>
      </c>
      <c r="I158" s="416">
        <f>SUM('prog-6'!I541)</f>
        <v>0</v>
      </c>
      <c r="J158" s="202">
        <f>SUM('prog-6'!J541)</f>
        <v>0</v>
      </c>
      <c r="K158" s="201">
        <f t="shared" si="97"/>
        <v>0</v>
      </c>
      <c r="L158" s="202">
        <f>SUM('prog-6'!L541)</f>
        <v>0</v>
      </c>
      <c r="M158" s="202">
        <f>SUM('prog-6'!M541)</f>
        <v>0</v>
      </c>
      <c r="N158" s="202">
        <f>SUM('prog-6'!N541)</f>
        <v>0</v>
      </c>
      <c r="O158" s="287">
        <f>SUM(R158+P158)</f>
        <v>0</v>
      </c>
      <c r="P158" s="202">
        <f>SUM('prog-6'!P541)</f>
        <v>0</v>
      </c>
      <c r="Q158" s="202">
        <f>SUM('prog-6'!Q541)</f>
        <v>0</v>
      </c>
      <c r="R158" s="202">
        <f>SUM('prog-6'!R541)</f>
        <v>0</v>
      </c>
      <c r="S158" s="216">
        <f t="shared" si="112"/>
        <v>837100</v>
      </c>
      <c r="T158" s="217">
        <f t="shared" si="106"/>
        <v>0</v>
      </c>
      <c r="U158" s="128">
        <f>E158+I158+M158</f>
        <v>0</v>
      </c>
      <c r="V158" s="129">
        <f t="shared" si="111"/>
        <v>837100</v>
      </c>
    </row>
    <row r="159" spans="1:22" ht="13.5" thickBot="1" x14ac:dyDescent="0.25">
      <c r="A159" s="125" t="s">
        <v>285</v>
      </c>
      <c r="B159" s="145" t="s">
        <v>583</v>
      </c>
      <c r="C159" s="214">
        <f>C157-C158</f>
        <v>18460748.629999999</v>
      </c>
      <c r="D159" s="215">
        <f>D157-D158</f>
        <v>17526440.629999999</v>
      </c>
      <c r="E159" s="426">
        <f>E157-E158</f>
        <v>10379610</v>
      </c>
      <c r="F159" s="433">
        <f>F157-F158</f>
        <v>934308</v>
      </c>
      <c r="G159" s="214">
        <f t="shared" ref="G159:V159" si="128">G157-G158</f>
        <v>13125067</v>
      </c>
      <c r="H159" s="215">
        <f t="shared" si="128"/>
        <v>11897412.689999999</v>
      </c>
      <c r="I159" s="426">
        <f t="shared" si="128"/>
        <v>9146655.3999999985</v>
      </c>
      <c r="J159" s="283">
        <f t="shared" si="128"/>
        <v>1227654.3099999998</v>
      </c>
      <c r="K159" s="214">
        <f t="shared" si="128"/>
        <v>1089670.17</v>
      </c>
      <c r="L159" s="215">
        <f t="shared" si="128"/>
        <v>1079861.8199999998</v>
      </c>
      <c r="M159" s="426">
        <f t="shared" si="128"/>
        <v>177200</v>
      </c>
      <c r="N159" s="283">
        <f t="shared" si="128"/>
        <v>9808.35</v>
      </c>
      <c r="O159" s="214">
        <f t="shared" si="128"/>
        <v>1104095.76</v>
      </c>
      <c r="P159" s="215">
        <f t="shared" si="128"/>
        <v>0</v>
      </c>
      <c r="Q159" s="215">
        <f t="shared" si="128"/>
        <v>0</v>
      </c>
      <c r="R159" s="283">
        <f t="shared" si="128"/>
        <v>1104095.76</v>
      </c>
      <c r="S159" s="214">
        <f t="shared" si="128"/>
        <v>33779581.560000002</v>
      </c>
      <c r="T159" s="215">
        <f t="shared" si="128"/>
        <v>30503715.140000001</v>
      </c>
      <c r="U159" s="426">
        <f t="shared" si="128"/>
        <v>19703465.399999999</v>
      </c>
      <c r="V159" s="283">
        <f t="shared" si="128"/>
        <v>3275866.42</v>
      </c>
    </row>
    <row r="160" spans="1:22" x14ac:dyDescent="0.2"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</row>
    <row r="162" spans="8:10" x14ac:dyDescent="0.2">
      <c r="H162" s="133"/>
      <c r="I162" s="133"/>
      <c r="J162" s="133"/>
    </row>
  </sheetData>
  <mergeCells count="28">
    <mergeCell ref="S9:S11"/>
    <mergeCell ref="C9:C11"/>
    <mergeCell ref="K9:K11"/>
    <mergeCell ref="L9:N9"/>
    <mergeCell ref="P10:Q10"/>
    <mergeCell ref="H9:J9"/>
    <mergeCell ref="G7:J8"/>
    <mergeCell ref="K7:N8"/>
    <mergeCell ref="D10:E10"/>
    <mergeCell ref="F10:F11"/>
    <mergeCell ref="H10:I10"/>
    <mergeCell ref="J10:J11"/>
    <mergeCell ref="A5:V5"/>
    <mergeCell ref="O7:R8"/>
    <mergeCell ref="S7:V8"/>
    <mergeCell ref="P9:R9"/>
    <mergeCell ref="T10:U10"/>
    <mergeCell ref="V10:V11"/>
    <mergeCell ref="T9:V9"/>
    <mergeCell ref="R10:R11"/>
    <mergeCell ref="L10:M10"/>
    <mergeCell ref="N10:N11"/>
    <mergeCell ref="O9:O11"/>
    <mergeCell ref="D9:F9"/>
    <mergeCell ref="G9:G11"/>
    <mergeCell ref="A7:A11"/>
    <mergeCell ref="B7:B11"/>
    <mergeCell ref="C7:F8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0" fitToHeight="0" orientation="landscape" horizontalDpi="4294967295" verticalDpi="4294967295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4"/>
  <sheetViews>
    <sheetView tabSelected="1" zoomScaleNormal="100" workbookViewId="0">
      <selection activeCell="F3" sqref="F3"/>
    </sheetView>
  </sheetViews>
  <sheetFormatPr defaultRowHeight="12.75" x14ac:dyDescent="0.2"/>
  <cols>
    <col min="1" max="1" width="3.42578125" style="64" customWidth="1"/>
    <col min="2" max="2" width="41.42578125" style="65" customWidth="1"/>
    <col min="3" max="3" width="10.85546875" style="65" customWidth="1"/>
    <col min="4" max="4" width="10.42578125" style="65" customWidth="1"/>
    <col min="5" max="5" width="9.7109375" style="65" customWidth="1"/>
    <col min="6" max="6" width="9" style="65" customWidth="1"/>
    <col min="7" max="8" width="9.7109375" style="65" customWidth="1"/>
    <col min="9" max="9" width="9.5703125" style="65" customWidth="1"/>
    <col min="10" max="10" width="10.140625" style="65" customWidth="1"/>
    <col min="11" max="12" width="8.85546875" style="65" customWidth="1"/>
    <col min="13" max="13" width="8.28515625" style="65" customWidth="1"/>
    <col min="14" max="14" width="6.42578125" style="65" customWidth="1"/>
    <col min="15" max="15" width="9.5703125" style="65" customWidth="1"/>
    <col min="16" max="16" width="6" style="65" customWidth="1"/>
    <col min="17" max="17" width="5.7109375" style="65" customWidth="1"/>
    <col min="18" max="18" width="10" style="65" customWidth="1"/>
    <col min="19" max="19" width="11.5703125" style="65" customWidth="1"/>
    <col min="20" max="20" width="9.85546875" style="65" customWidth="1"/>
    <col min="21" max="21" width="10.28515625" style="65" customWidth="1"/>
    <col min="22" max="22" width="9.7109375" style="65" customWidth="1"/>
    <col min="23" max="23" width="10" style="65" bestFit="1" customWidth="1"/>
    <col min="24" max="16384" width="9.140625" style="65"/>
  </cols>
  <sheetData>
    <row r="1" spans="1:23" ht="15" x14ac:dyDescent="0.25">
      <c r="O1" s="411" t="s">
        <v>50</v>
      </c>
      <c r="U1" s="66"/>
      <c r="V1" s="66"/>
    </row>
    <row r="2" spans="1:23" ht="15" x14ac:dyDescent="0.25">
      <c r="O2" s="412" t="s">
        <v>591</v>
      </c>
      <c r="U2" s="66"/>
      <c r="V2" s="66"/>
    </row>
    <row r="3" spans="1:23" ht="15" x14ac:dyDescent="0.25">
      <c r="O3" s="412" t="s">
        <v>586</v>
      </c>
      <c r="U3" s="66"/>
      <c r="V3" s="66"/>
    </row>
    <row r="4" spans="1:23" ht="12.75" customHeight="1" x14ac:dyDescent="0.25">
      <c r="U4" s="66"/>
      <c r="V4" s="66"/>
    </row>
    <row r="5" spans="1:23" ht="7.5" customHeight="1" x14ac:dyDescent="0.25">
      <c r="T5" s="66"/>
      <c r="U5" s="66"/>
      <c r="V5" s="66"/>
    </row>
    <row r="6" spans="1:23" ht="15.75" customHeight="1" x14ac:dyDescent="0.2">
      <c r="A6" s="467" t="s">
        <v>588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</row>
    <row r="7" spans="1:23" ht="11.25" customHeight="1" thickBot="1" x14ac:dyDescent="0.25">
      <c r="V7" s="242" t="s">
        <v>117</v>
      </c>
    </row>
    <row r="8" spans="1:23" ht="12.75" customHeight="1" x14ac:dyDescent="0.2">
      <c r="A8" s="515" t="s">
        <v>47</v>
      </c>
      <c r="B8" s="469" t="s">
        <v>150</v>
      </c>
      <c r="C8" s="494" t="s">
        <v>128</v>
      </c>
      <c r="D8" s="495"/>
      <c r="E8" s="495"/>
      <c r="F8" s="496"/>
      <c r="G8" s="494" t="s">
        <v>584</v>
      </c>
      <c r="H8" s="495"/>
      <c r="I8" s="495"/>
      <c r="J8" s="496"/>
      <c r="K8" s="468" t="s">
        <v>129</v>
      </c>
      <c r="L8" s="469"/>
      <c r="M8" s="469"/>
      <c r="N8" s="470"/>
      <c r="O8" s="469" t="s">
        <v>130</v>
      </c>
      <c r="P8" s="469"/>
      <c r="Q8" s="469"/>
      <c r="R8" s="469"/>
      <c r="S8" s="468" t="s">
        <v>131</v>
      </c>
      <c r="T8" s="469"/>
      <c r="U8" s="469"/>
      <c r="V8" s="470"/>
    </row>
    <row r="9" spans="1:23" ht="23.25" customHeight="1" thickBot="1" x14ac:dyDescent="0.25">
      <c r="A9" s="516"/>
      <c r="B9" s="493"/>
      <c r="C9" s="497"/>
      <c r="D9" s="498"/>
      <c r="E9" s="498"/>
      <c r="F9" s="499"/>
      <c r="G9" s="497"/>
      <c r="H9" s="498"/>
      <c r="I9" s="498"/>
      <c r="J9" s="499"/>
      <c r="K9" s="474"/>
      <c r="L9" s="475"/>
      <c r="M9" s="475"/>
      <c r="N9" s="476"/>
      <c r="O9" s="475"/>
      <c r="P9" s="475"/>
      <c r="Q9" s="475"/>
      <c r="R9" s="475"/>
      <c r="S9" s="474"/>
      <c r="T9" s="475"/>
      <c r="U9" s="475"/>
      <c r="V9" s="476"/>
    </row>
    <row r="10" spans="1:23" x14ac:dyDescent="0.2">
      <c r="A10" s="516"/>
      <c r="B10" s="493"/>
      <c r="C10" s="489" t="s">
        <v>27</v>
      </c>
      <c r="D10" s="483" t="s">
        <v>48</v>
      </c>
      <c r="E10" s="484"/>
      <c r="F10" s="485"/>
      <c r="G10" s="489" t="s">
        <v>27</v>
      </c>
      <c r="H10" s="483" t="s">
        <v>48</v>
      </c>
      <c r="I10" s="484"/>
      <c r="J10" s="485"/>
      <c r="K10" s="489" t="s">
        <v>27</v>
      </c>
      <c r="L10" s="483" t="s">
        <v>48</v>
      </c>
      <c r="M10" s="484"/>
      <c r="N10" s="485"/>
      <c r="O10" s="509" t="s">
        <v>27</v>
      </c>
      <c r="P10" s="483" t="s">
        <v>48</v>
      </c>
      <c r="Q10" s="484"/>
      <c r="R10" s="484"/>
      <c r="S10" s="489" t="s">
        <v>27</v>
      </c>
      <c r="T10" s="483" t="s">
        <v>48</v>
      </c>
      <c r="U10" s="484"/>
      <c r="V10" s="485"/>
    </row>
    <row r="11" spans="1:23" ht="15" customHeight="1" x14ac:dyDescent="0.2">
      <c r="A11" s="516"/>
      <c r="B11" s="493"/>
      <c r="C11" s="490"/>
      <c r="D11" s="479" t="s">
        <v>58</v>
      </c>
      <c r="E11" s="480"/>
      <c r="F11" s="481" t="s">
        <v>61</v>
      </c>
      <c r="G11" s="490"/>
      <c r="H11" s="479" t="s">
        <v>58</v>
      </c>
      <c r="I11" s="480"/>
      <c r="J11" s="481" t="s">
        <v>61</v>
      </c>
      <c r="K11" s="490"/>
      <c r="L11" s="479" t="s">
        <v>58</v>
      </c>
      <c r="M11" s="480"/>
      <c r="N11" s="481" t="s">
        <v>61</v>
      </c>
      <c r="O11" s="488"/>
      <c r="P11" s="504" t="s">
        <v>58</v>
      </c>
      <c r="Q11" s="505"/>
      <c r="R11" s="486" t="s">
        <v>61</v>
      </c>
      <c r="S11" s="490"/>
      <c r="T11" s="479" t="s">
        <v>58</v>
      </c>
      <c r="U11" s="480"/>
      <c r="V11" s="481" t="s">
        <v>61</v>
      </c>
    </row>
    <row r="12" spans="1:23" ht="55.5" customHeight="1" thickBot="1" x14ac:dyDescent="0.25">
      <c r="A12" s="516"/>
      <c r="B12" s="493"/>
      <c r="C12" s="490"/>
      <c r="D12" s="68" t="s">
        <v>59</v>
      </c>
      <c r="E12" s="69" t="s">
        <v>60</v>
      </c>
      <c r="F12" s="482"/>
      <c r="G12" s="490"/>
      <c r="H12" s="68" t="s">
        <v>59</v>
      </c>
      <c r="I12" s="69" t="s">
        <v>60</v>
      </c>
      <c r="J12" s="482"/>
      <c r="K12" s="490"/>
      <c r="L12" s="68" t="s">
        <v>59</v>
      </c>
      <c r="M12" s="69" t="s">
        <v>60</v>
      </c>
      <c r="N12" s="482"/>
      <c r="O12" s="488"/>
      <c r="P12" s="68" t="s">
        <v>59</v>
      </c>
      <c r="Q12" s="69" t="s">
        <v>60</v>
      </c>
      <c r="R12" s="487"/>
      <c r="S12" s="490"/>
      <c r="T12" s="68" t="s">
        <v>59</v>
      </c>
      <c r="U12" s="69" t="s">
        <v>60</v>
      </c>
      <c r="V12" s="482"/>
    </row>
    <row r="13" spans="1:23" s="78" customFormat="1" ht="9.75" customHeight="1" thickBot="1" x14ac:dyDescent="0.25">
      <c r="A13" s="70" t="s">
        <v>102</v>
      </c>
      <c r="B13" s="71">
        <v>3</v>
      </c>
      <c r="C13" s="72" t="s">
        <v>148</v>
      </c>
      <c r="D13" s="73">
        <v>5</v>
      </c>
      <c r="E13" s="74">
        <v>6</v>
      </c>
      <c r="F13" s="75">
        <v>7</v>
      </c>
      <c r="G13" s="72" t="s">
        <v>149</v>
      </c>
      <c r="H13" s="73">
        <v>9</v>
      </c>
      <c r="I13" s="74">
        <v>10</v>
      </c>
      <c r="J13" s="75">
        <v>11</v>
      </c>
      <c r="K13" s="72" t="s">
        <v>217</v>
      </c>
      <c r="L13" s="73">
        <v>13</v>
      </c>
      <c r="M13" s="74">
        <v>14</v>
      </c>
      <c r="N13" s="75">
        <v>15</v>
      </c>
      <c r="O13" s="76" t="s">
        <v>330</v>
      </c>
      <c r="P13" s="73">
        <v>17</v>
      </c>
      <c r="Q13" s="74">
        <v>17</v>
      </c>
      <c r="R13" s="77">
        <v>18</v>
      </c>
      <c r="S13" s="76" t="s">
        <v>133</v>
      </c>
      <c r="T13" s="73">
        <v>24</v>
      </c>
      <c r="U13" s="74">
        <v>25</v>
      </c>
      <c r="V13" s="75">
        <v>26</v>
      </c>
    </row>
    <row r="14" spans="1:23" ht="15.75" customHeight="1" thickBot="1" x14ac:dyDescent="0.25">
      <c r="A14" s="517" t="s">
        <v>141</v>
      </c>
      <c r="B14" s="518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9"/>
    </row>
    <row r="15" spans="1:23" x14ac:dyDescent="0.2">
      <c r="A15" s="323"/>
      <c r="B15" s="324" t="s">
        <v>134</v>
      </c>
      <c r="C15" s="183">
        <f>D15+F15</f>
        <v>317800</v>
      </c>
      <c r="D15" s="184">
        <f>SUM(D16:D31)</f>
        <v>281500</v>
      </c>
      <c r="E15" s="184">
        <f>SUM(E16:E31)</f>
        <v>0</v>
      </c>
      <c r="F15" s="184">
        <f>SUM(F16:F31)</f>
        <v>36300</v>
      </c>
      <c r="G15" s="231">
        <f>H15+J15</f>
        <v>852914.62999999989</v>
      </c>
      <c r="H15" s="232">
        <f>SUM(H16:H31)</f>
        <v>670756.18999999994</v>
      </c>
      <c r="I15" s="232">
        <f>SUM(I16:I31)</f>
        <v>2095.8000000000002</v>
      </c>
      <c r="J15" s="232">
        <f>SUM(J16:J31)</f>
        <v>182158.44</v>
      </c>
      <c r="K15" s="183">
        <f>L15+N15</f>
        <v>0</v>
      </c>
      <c r="L15" s="184">
        <f>SUM(L16:L31)</f>
        <v>0</v>
      </c>
      <c r="M15" s="184">
        <f>SUM(M16:M31)</f>
        <v>0</v>
      </c>
      <c r="N15" s="184">
        <f>SUM(N16:N31)</f>
        <v>0</v>
      </c>
      <c r="O15" s="231">
        <f>P15+R15</f>
        <v>101680</v>
      </c>
      <c r="P15" s="232">
        <f>SUM(P16:P31)</f>
        <v>0</v>
      </c>
      <c r="Q15" s="232">
        <f>SUM(Q16:Q31)</f>
        <v>0</v>
      </c>
      <c r="R15" s="232">
        <f>SUM(R16:R31)</f>
        <v>101680</v>
      </c>
      <c r="S15" s="231">
        <f>T15+V15</f>
        <v>1272394.6299999999</v>
      </c>
      <c r="T15" s="232">
        <f>D15+H15+L15+P15</f>
        <v>952256.19</v>
      </c>
      <c r="U15" s="232">
        <f t="shared" ref="U15:V15" si="0">E15+I15+M15+Q15</f>
        <v>2095.8000000000002</v>
      </c>
      <c r="V15" s="335">
        <f t="shared" si="0"/>
        <v>320138.44</v>
      </c>
      <c r="W15" s="150"/>
    </row>
    <row r="16" spans="1:23" ht="15.75" customHeight="1" x14ac:dyDescent="0.2">
      <c r="A16" s="325" t="s">
        <v>64</v>
      </c>
      <c r="B16" s="326" t="s">
        <v>142</v>
      </c>
      <c r="C16" s="185">
        <f t="shared" ref="C16:C31" si="1">D16+F16</f>
        <v>59000</v>
      </c>
      <c r="D16" s="187">
        <f>14000+45000</f>
        <v>59000</v>
      </c>
      <c r="E16" s="187"/>
      <c r="F16" s="327"/>
      <c r="G16" s="185">
        <f t="shared" ref="G16:G29" si="2">H16+J16</f>
        <v>0</v>
      </c>
      <c r="H16" s="187"/>
      <c r="I16" s="187"/>
      <c r="J16" s="230"/>
      <c r="K16" s="185">
        <f t="shared" ref="K16:K31" si="3">L16+N16</f>
        <v>0</v>
      </c>
      <c r="L16" s="187"/>
      <c r="M16" s="187"/>
      <c r="N16" s="327"/>
      <c r="O16" s="185">
        <f t="shared" ref="O16:O29" si="4">P16+R16</f>
        <v>0</v>
      </c>
      <c r="P16" s="187"/>
      <c r="Q16" s="187"/>
      <c r="R16" s="230"/>
      <c r="S16" s="185">
        <f>T16+V16</f>
        <v>59000</v>
      </c>
      <c r="T16" s="186">
        <f>D16+H16+L16+P16</f>
        <v>59000</v>
      </c>
      <c r="U16" s="186">
        <f t="shared" ref="U16:V16" si="5">E16+I16+M16+Q16</f>
        <v>0</v>
      </c>
      <c r="V16" s="300">
        <f t="shared" si="5"/>
        <v>0</v>
      </c>
      <c r="W16" s="150"/>
    </row>
    <row r="17" spans="1:25" ht="15.75" customHeight="1" x14ac:dyDescent="0.2">
      <c r="A17" s="325" t="s">
        <v>64</v>
      </c>
      <c r="B17" s="326" t="s">
        <v>565</v>
      </c>
      <c r="C17" s="185">
        <f t="shared" ref="C17" si="6">D17+F17</f>
        <v>10000</v>
      </c>
      <c r="D17" s="187">
        <v>10000</v>
      </c>
      <c r="E17" s="187"/>
      <c r="F17" s="327"/>
      <c r="G17" s="185">
        <f t="shared" ref="G17" si="7">H17+J17</f>
        <v>0</v>
      </c>
      <c r="H17" s="187"/>
      <c r="I17" s="187"/>
      <c r="J17" s="230"/>
      <c r="K17" s="185">
        <f t="shared" ref="K17" si="8">L17+N17</f>
        <v>0</v>
      </c>
      <c r="L17" s="187"/>
      <c r="M17" s="187"/>
      <c r="N17" s="327"/>
      <c r="O17" s="185">
        <f t="shared" ref="O17" si="9">P17+R17</f>
        <v>0</v>
      </c>
      <c r="P17" s="187"/>
      <c r="Q17" s="187"/>
      <c r="R17" s="230"/>
      <c r="S17" s="185">
        <f>T17+V17</f>
        <v>10000</v>
      </c>
      <c r="T17" s="186">
        <f>D17+H17+L17+P17</f>
        <v>10000</v>
      </c>
      <c r="U17" s="186">
        <f t="shared" ref="U17" si="10">E17+I17+M17+Q17</f>
        <v>0</v>
      </c>
      <c r="V17" s="300">
        <f t="shared" ref="V17" si="11">F17+J17+N17+R17</f>
        <v>0</v>
      </c>
      <c r="W17" s="150"/>
    </row>
    <row r="18" spans="1:25" ht="25.5" customHeight="1" x14ac:dyDescent="0.2">
      <c r="A18" s="328" t="s">
        <v>64</v>
      </c>
      <c r="B18" s="326" t="s">
        <v>503</v>
      </c>
      <c r="C18" s="185">
        <f t="shared" ref="C18" si="12">D18+F18</f>
        <v>6300</v>
      </c>
      <c r="D18" s="187"/>
      <c r="E18" s="187"/>
      <c r="F18" s="327">
        <v>6300</v>
      </c>
      <c r="G18" s="185">
        <f t="shared" ref="G18" si="13">H18+J18</f>
        <v>35690</v>
      </c>
      <c r="H18" s="187"/>
      <c r="I18" s="187"/>
      <c r="J18" s="230">
        <v>35690</v>
      </c>
      <c r="K18" s="185">
        <f t="shared" ref="K18" si="14">L18+N18</f>
        <v>0</v>
      </c>
      <c r="L18" s="187"/>
      <c r="M18" s="187"/>
      <c r="N18" s="327"/>
      <c r="O18" s="185">
        <f t="shared" ref="O18" si="15">P18+R18</f>
        <v>0</v>
      </c>
      <c r="P18" s="187"/>
      <c r="Q18" s="187"/>
      <c r="R18" s="230"/>
      <c r="S18" s="185">
        <f>T18+V18</f>
        <v>41990</v>
      </c>
      <c r="T18" s="186">
        <f t="shared" ref="T18:T31" si="16">D18+H18+L18+P18</f>
        <v>0</v>
      </c>
      <c r="U18" s="186">
        <f t="shared" ref="U18:U31" si="17">E18+I18+M18+Q18</f>
        <v>0</v>
      </c>
      <c r="V18" s="230">
        <f t="shared" ref="V18:V31" si="18">F18+J18+N18+R18</f>
        <v>41990</v>
      </c>
      <c r="W18" s="255"/>
      <c r="X18" s="255"/>
    </row>
    <row r="19" spans="1:25" ht="15" customHeight="1" x14ac:dyDescent="0.2">
      <c r="A19" s="328" t="s">
        <v>64</v>
      </c>
      <c r="B19" s="326" t="s">
        <v>152</v>
      </c>
      <c r="C19" s="185">
        <f t="shared" si="1"/>
        <v>10800</v>
      </c>
      <c r="D19" s="187">
        <v>10800</v>
      </c>
      <c r="E19" s="187"/>
      <c r="F19" s="327"/>
      <c r="G19" s="185">
        <f t="shared" si="2"/>
        <v>0</v>
      </c>
      <c r="H19" s="187"/>
      <c r="I19" s="187"/>
      <c r="J19" s="230"/>
      <c r="K19" s="185">
        <f t="shared" si="3"/>
        <v>0</v>
      </c>
      <c r="L19" s="187"/>
      <c r="M19" s="187"/>
      <c r="N19" s="327"/>
      <c r="O19" s="185">
        <f t="shared" si="4"/>
        <v>0</v>
      </c>
      <c r="P19" s="187"/>
      <c r="Q19" s="187"/>
      <c r="R19" s="230"/>
      <c r="S19" s="185">
        <f t="shared" ref="S19:S32" si="19">T19+V19</f>
        <v>10800</v>
      </c>
      <c r="T19" s="186">
        <f t="shared" si="16"/>
        <v>10800</v>
      </c>
      <c r="U19" s="186">
        <f t="shared" si="17"/>
        <v>0</v>
      </c>
      <c r="V19" s="300">
        <f t="shared" si="18"/>
        <v>0</v>
      </c>
      <c r="W19" s="150"/>
    </row>
    <row r="20" spans="1:25" ht="24" customHeight="1" x14ac:dyDescent="0.2">
      <c r="A20" s="325" t="s">
        <v>64</v>
      </c>
      <c r="B20" s="326" t="s">
        <v>506</v>
      </c>
      <c r="C20" s="185">
        <f t="shared" ref="C20:C24" si="20">D20+F20</f>
        <v>12500</v>
      </c>
      <c r="D20" s="187">
        <v>12500</v>
      </c>
      <c r="E20" s="187"/>
      <c r="F20" s="327"/>
      <c r="G20" s="185">
        <f t="shared" ref="G20:G24" si="21">H20+J20</f>
        <v>150000</v>
      </c>
      <c r="H20" s="187">
        <v>150000</v>
      </c>
      <c r="I20" s="187"/>
      <c r="J20" s="230"/>
      <c r="K20" s="185">
        <f t="shared" ref="K20:K24" si="22">L20+N20</f>
        <v>0</v>
      </c>
      <c r="L20" s="187"/>
      <c r="M20" s="187"/>
      <c r="N20" s="327"/>
      <c r="O20" s="185">
        <f t="shared" ref="O20:O24" si="23">P20+R20</f>
        <v>0</v>
      </c>
      <c r="P20" s="187"/>
      <c r="Q20" s="187"/>
      <c r="R20" s="230"/>
      <c r="S20" s="185">
        <f t="shared" ref="S20:S24" si="24">T20+V20</f>
        <v>162500</v>
      </c>
      <c r="T20" s="186">
        <f t="shared" si="16"/>
        <v>162500</v>
      </c>
      <c r="U20" s="186">
        <f t="shared" si="17"/>
        <v>0</v>
      </c>
      <c r="V20" s="300">
        <f t="shared" si="18"/>
        <v>0</v>
      </c>
      <c r="W20" s="150"/>
    </row>
    <row r="21" spans="1:25" ht="24" customHeight="1" x14ac:dyDescent="0.2">
      <c r="A21" s="328" t="s">
        <v>64</v>
      </c>
      <c r="B21" s="326" t="s">
        <v>507</v>
      </c>
      <c r="C21" s="185">
        <f t="shared" si="20"/>
        <v>0</v>
      </c>
      <c r="D21" s="187"/>
      <c r="E21" s="187"/>
      <c r="F21" s="327"/>
      <c r="G21" s="185">
        <f t="shared" si="21"/>
        <v>87500</v>
      </c>
      <c r="H21" s="187">
        <v>87500</v>
      </c>
      <c r="I21" s="187"/>
      <c r="J21" s="230"/>
      <c r="K21" s="185">
        <f t="shared" si="22"/>
        <v>0</v>
      </c>
      <c r="L21" s="187"/>
      <c r="M21" s="187"/>
      <c r="N21" s="327"/>
      <c r="O21" s="185">
        <f t="shared" si="23"/>
        <v>0</v>
      </c>
      <c r="P21" s="187"/>
      <c r="Q21" s="187"/>
      <c r="R21" s="230"/>
      <c r="S21" s="185">
        <f t="shared" si="24"/>
        <v>87500</v>
      </c>
      <c r="T21" s="186">
        <f t="shared" si="16"/>
        <v>87500</v>
      </c>
      <c r="U21" s="186">
        <f t="shared" si="17"/>
        <v>0</v>
      </c>
      <c r="V21" s="300">
        <f t="shared" si="18"/>
        <v>0</v>
      </c>
      <c r="W21" s="274"/>
    </row>
    <row r="22" spans="1:25" ht="24.75" customHeight="1" x14ac:dyDescent="0.2">
      <c r="A22" s="328" t="s">
        <v>64</v>
      </c>
      <c r="B22" s="326" t="s">
        <v>508</v>
      </c>
      <c r="C22" s="185">
        <f t="shared" si="20"/>
        <v>9400</v>
      </c>
      <c r="D22" s="187">
        <v>9400</v>
      </c>
      <c r="E22" s="187"/>
      <c r="F22" s="327"/>
      <c r="G22" s="185">
        <f t="shared" si="21"/>
        <v>150000</v>
      </c>
      <c r="H22" s="187">
        <v>150000</v>
      </c>
      <c r="I22" s="187"/>
      <c r="J22" s="230"/>
      <c r="K22" s="185">
        <f t="shared" si="22"/>
        <v>0</v>
      </c>
      <c r="L22" s="187"/>
      <c r="M22" s="187"/>
      <c r="N22" s="327"/>
      <c r="O22" s="185">
        <f t="shared" si="23"/>
        <v>0</v>
      </c>
      <c r="P22" s="187"/>
      <c r="Q22" s="187"/>
      <c r="R22" s="230"/>
      <c r="S22" s="185">
        <f t="shared" si="24"/>
        <v>159400</v>
      </c>
      <c r="T22" s="186">
        <f t="shared" si="16"/>
        <v>159400</v>
      </c>
      <c r="U22" s="186">
        <f t="shared" si="17"/>
        <v>0</v>
      </c>
      <c r="V22" s="300">
        <f t="shared" si="18"/>
        <v>0</v>
      </c>
      <c r="W22" s="150"/>
    </row>
    <row r="23" spans="1:25" ht="24.75" customHeight="1" x14ac:dyDescent="0.2">
      <c r="A23" s="328" t="s">
        <v>64</v>
      </c>
      <c r="B23" s="326" t="s">
        <v>509</v>
      </c>
      <c r="C23" s="185">
        <f t="shared" si="20"/>
        <v>0</v>
      </c>
      <c r="D23" s="187"/>
      <c r="E23" s="187"/>
      <c r="F23" s="327"/>
      <c r="G23" s="185">
        <f t="shared" si="21"/>
        <v>28130</v>
      </c>
      <c r="H23" s="187">
        <v>28130</v>
      </c>
      <c r="I23" s="187"/>
      <c r="J23" s="230"/>
      <c r="K23" s="185">
        <f t="shared" si="22"/>
        <v>0</v>
      </c>
      <c r="L23" s="187"/>
      <c r="M23" s="187"/>
      <c r="N23" s="327"/>
      <c r="O23" s="185">
        <f t="shared" si="23"/>
        <v>0</v>
      </c>
      <c r="P23" s="187"/>
      <c r="Q23" s="187"/>
      <c r="R23" s="230"/>
      <c r="S23" s="185">
        <f t="shared" si="24"/>
        <v>28130</v>
      </c>
      <c r="T23" s="186">
        <f t="shared" si="16"/>
        <v>28130</v>
      </c>
      <c r="U23" s="186">
        <f t="shared" si="17"/>
        <v>0</v>
      </c>
      <c r="V23" s="300">
        <f t="shared" si="18"/>
        <v>0</v>
      </c>
      <c r="W23" s="150"/>
    </row>
    <row r="24" spans="1:25" ht="12.75" customHeight="1" x14ac:dyDescent="0.2">
      <c r="A24" s="329" t="s">
        <v>64</v>
      </c>
      <c r="B24" s="326" t="s">
        <v>25</v>
      </c>
      <c r="C24" s="185">
        <f t="shared" si="20"/>
        <v>0</v>
      </c>
      <c r="D24" s="186"/>
      <c r="E24" s="186"/>
      <c r="F24" s="300"/>
      <c r="G24" s="221">
        <f t="shared" si="21"/>
        <v>253000</v>
      </c>
      <c r="H24" s="186">
        <v>253000</v>
      </c>
      <c r="I24" s="186"/>
      <c r="J24" s="222"/>
      <c r="K24" s="185">
        <f t="shared" si="22"/>
        <v>0</v>
      </c>
      <c r="L24" s="186"/>
      <c r="M24" s="186"/>
      <c r="N24" s="300"/>
      <c r="O24" s="221">
        <f t="shared" si="23"/>
        <v>0</v>
      </c>
      <c r="P24" s="186"/>
      <c r="Q24" s="186"/>
      <c r="R24" s="222"/>
      <c r="S24" s="185">
        <f t="shared" si="24"/>
        <v>253000</v>
      </c>
      <c r="T24" s="186">
        <f t="shared" si="16"/>
        <v>253000</v>
      </c>
      <c r="U24" s="186">
        <f t="shared" si="17"/>
        <v>0</v>
      </c>
      <c r="V24" s="300">
        <f t="shared" si="18"/>
        <v>0</v>
      </c>
      <c r="W24" s="150"/>
    </row>
    <row r="25" spans="1:25" ht="14.25" customHeight="1" x14ac:dyDescent="0.2">
      <c r="A25" s="328" t="s">
        <v>64</v>
      </c>
      <c r="B25" s="326" t="s">
        <v>153</v>
      </c>
      <c r="C25" s="185">
        <f t="shared" si="1"/>
        <v>66200</v>
      </c>
      <c r="D25" s="187">
        <f>21200+45000</f>
        <v>66200</v>
      </c>
      <c r="E25" s="187"/>
      <c r="F25" s="327"/>
      <c r="G25" s="185">
        <f t="shared" si="2"/>
        <v>0</v>
      </c>
      <c r="H25" s="187"/>
      <c r="I25" s="187"/>
      <c r="J25" s="230"/>
      <c r="K25" s="185">
        <f t="shared" si="3"/>
        <v>0</v>
      </c>
      <c r="L25" s="187"/>
      <c r="M25" s="187"/>
      <c r="N25" s="327"/>
      <c r="O25" s="185">
        <f t="shared" si="4"/>
        <v>0</v>
      </c>
      <c r="P25" s="187"/>
      <c r="Q25" s="187"/>
      <c r="R25" s="230"/>
      <c r="S25" s="185">
        <f t="shared" si="19"/>
        <v>66200</v>
      </c>
      <c r="T25" s="186">
        <f t="shared" si="16"/>
        <v>66200</v>
      </c>
      <c r="U25" s="186">
        <f t="shared" si="17"/>
        <v>0</v>
      </c>
      <c r="V25" s="300">
        <f t="shared" si="18"/>
        <v>0</v>
      </c>
      <c r="W25" s="150"/>
    </row>
    <row r="26" spans="1:25" ht="15.75" customHeight="1" x14ac:dyDescent="0.2">
      <c r="A26" s="328" t="s">
        <v>64</v>
      </c>
      <c r="B26" s="326" t="s">
        <v>143</v>
      </c>
      <c r="C26" s="185">
        <f t="shared" si="1"/>
        <v>80000</v>
      </c>
      <c r="D26" s="187">
        <v>50000</v>
      </c>
      <c r="E26" s="187"/>
      <c r="F26" s="327">
        <v>30000</v>
      </c>
      <c r="G26" s="185">
        <f t="shared" si="2"/>
        <v>0</v>
      </c>
      <c r="H26" s="187"/>
      <c r="I26" s="187"/>
      <c r="J26" s="230"/>
      <c r="K26" s="185">
        <f t="shared" si="3"/>
        <v>0</v>
      </c>
      <c r="L26" s="187"/>
      <c r="M26" s="187"/>
      <c r="N26" s="327"/>
      <c r="O26" s="185">
        <f t="shared" si="4"/>
        <v>0</v>
      </c>
      <c r="P26" s="187"/>
      <c r="Q26" s="187"/>
      <c r="R26" s="230"/>
      <c r="S26" s="185">
        <f t="shared" si="19"/>
        <v>80000</v>
      </c>
      <c r="T26" s="186">
        <f t="shared" si="16"/>
        <v>50000</v>
      </c>
      <c r="U26" s="186">
        <f t="shared" si="17"/>
        <v>0</v>
      </c>
      <c r="V26" s="300">
        <f t="shared" si="18"/>
        <v>30000</v>
      </c>
      <c r="W26" s="150"/>
    </row>
    <row r="27" spans="1:25" ht="14.25" customHeight="1" x14ac:dyDescent="0.2">
      <c r="A27" s="328" t="s">
        <v>67</v>
      </c>
      <c r="B27" s="326" t="s">
        <v>144</v>
      </c>
      <c r="C27" s="185">
        <f t="shared" si="1"/>
        <v>3600</v>
      </c>
      <c r="D27" s="187">
        <v>3600</v>
      </c>
      <c r="E27" s="187"/>
      <c r="F27" s="327"/>
      <c r="G27" s="185">
        <f t="shared" si="2"/>
        <v>0</v>
      </c>
      <c r="H27" s="187"/>
      <c r="I27" s="187"/>
      <c r="J27" s="230"/>
      <c r="K27" s="185">
        <f t="shared" si="3"/>
        <v>0</v>
      </c>
      <c r="L27" s="187"/>
      <c r="M27" s="187"/>
      <c r="N27" s="327"/>
      <c r="O27" s="185">
        <f t="shared" si="4"/>
        <v>0</v>
      </c>
      <c r="P27" s="187"/>
      <c r="Q27" s="187"/>
      <c r="R27" s="230"/>
      <c r="S27" s="185">
        <f t="shared" si="19"/>
        <v>3600</v>
      </c>
      <c r="T27" s="186">
        <f t="shared" si="16"/>
        <v>3600</v>
      </c>
      <c r="U27" s="186">
        <f t="shared" si="17"/>
        <v>0</v>
      </c>
      <c r="V27" s="300">
        <f t="shared" si="18"/>
        <v>0</v>
      </c>
      <c r="W27" s="150"/>
    </row>
    <row r="28" spans="1:25" ht="15" customHeight="1" x14ac:dyDescent="0.2">
      <c r="A28" s="328" t="s">
        <v>67</v>
      </c>
      <c r="B28" s="326" t="s">
        <v>151</v>
      </c>
      <c r="C28" s="185">
        <f t="shared" si="1"/>
        <v>10000</v>
      </c>
      <c r="D28" s="187">
        <v>10000</v>
      </c>
      <c r="E28" s="187"/>
      <c r="F28" s="327"/>
      <c r="G28" s="185">
        <f t="shared" si="2"/>
        <v>0</v>
      </c>
      <c r="H28" s="187"/>
      <c r="I28" s="187"/>
      <c r="J28" s="230"/>
      <c r="K28" s="185">
        <f t="shared" si="3"/>
        <v>0</v>
      </c>
      <c r="L28" s="187"/>
      <c r="M28" s="187"/>
      <c r="N28" s="327"/>
      <c r="O28" s="185">
        <f t="shared" si="4"/>
        <v>0</v>
      </c>
      <c r="P28" s="187"/>
      <c r="Q28" s="187"/>
      <c r="R28" s="230"/>
      <c r="S28" s="185">
        <f t="shared" si="19"/>
        <v>10000</v>
      </c>
      <c r="T28" s="186">
        <f t="shared" si="16"/>
        <v>10000</v>
      </c>
      <c r="U28" s="186">
        <f t="shared" si="17"/>
        <v>0</v>
      </c>
      <c r="V28" s="300">
        <f t="shared" si="18"/>
        <v>0</v>
      </c>
      <c r="W28" s="150"/>
    </row>
    <row r="29" spans="1:25" x14ac:dyDescent="0.2">
      <c r="A29" s="330" t="s">
        <v>67</v>
      </c>
      <c r="B29" s="326" t="s">
        <v>145</v>
      </c>
      <c r="C29" s="185">
        <f t="shared" si="1"/>
        <v>50000</v>
      </c>
      <c r="D29" s="187">
        <f>30000+20000</f>
        <v>50000</v>
      </c>
      <c r="E29" s="187"/>
      <c r="F29" s="327"/>
      <c r="G29" s="185">
        <f t="shared" si="2"/>
        <v>0</v>
      </c>
      <c r="H29" s="187"/>
      <c r="I29" s="187"/>
      <c r="J29" s="230"/>
      <c r="K29" s="185">
        <f t="shared" si="3"/>
        <v>0</v>
      </c>
      <c r="L29" s="187"/>
      <c r="M29" s="187"/>
      <c r="N29" s="327"/>
      <c r="O29" s="185">
        <f t="shared" si="4"/>
        <v>0</v>
      </c>
      <c r="P29" s="187"/>
      <c r="Q29" s="187"/>
      <c r="R29" s="230"/>
      <c r="S29" s="185">
        <f t="shared" si="19"/>
        <v>50000</v>
      </c>
      <c r="T29" s="186">
        <f t="shared" si="16"/>
        <v>50000</v>
      </c>
      <c r="U29" s="186">
        <f t="shared" si="17"/>
        <v>0</v>
      </c>
      <c r="V29" s="230">
        <f t="shared" si="18"/>
        <v>0</v>
      </c>
    </row>
    <row r="30" spans="1:25" ht="25.5" x14ac:dyDescent="0.2">
      <c r="A30" s="336" t="s">
        <v>67</v>
      </c>
      <c r="B30" s="406" t="s">
        <v>505</v>
      </c>
      <c r="C30" s="185">
        <f t="shared" ref="C30" si="25">D30+F30</f>
        <v>0</v>
      </c>
      <c r="D30" s="187"/>
      <c r="E30" s="187"/>
      <c r="F30" s="327"/>
      <c r="G30" s="185">
        <f>H30+J30</f>
        <v>135787.71</v>
      </c>
      <c r="H30" s="187">
        <v>2126.19</v>
      </c>
      <c r="I30" s="187">
        <v>2095.8000000000002</v>
      </c>
      <c r="J30" s="230">
        <f>146468.44-12806.92</f>
        <v>133661.51999999999</v>
      </c>
      <c r="K30" s="185">
        <f t="shared" ref="K30" si="26">L30+N30</f>
        <v>0</v>
      </c>
      <c r="L30" s="187"/>
      <c r="M30" s="187"/>
      <c r="N30" s="327"/>
      <c r="O30" s="185">
        <f>P30+R30</f>
        <v>99180</v>
      </c>
      <c r="P30" s="187"/>
      <c r="Q30" s="187"/>
      <c r="R30" s="230">
        <v>99180</v>
      </c>
      <c r="S30" s="185">
        <f t="shared" ref="S30" si="27">T30+V30</f>
        <v>234967.71</v>
      </c>
      <c r="T30" s="186">
        <f t="shared" si="16"/>
        <v>2126.19</v>
      </c>
      <c r="U30" s="186">
        <f t="shared" si="17"/>
        <v>2095.8000000000002</v>
      </c>
      <c r="V30" s="300">
        <f t="shared" si="18"/>
        <v>232841.52</v>
      </c>
      <c r="W30" s="150"/>
    </row>
    <row r="31" spans="1:25" ht="39" thickBot="1" x14ac:dyDescent="0.25">
      <c r="A31" s="329" t="s">
        <v>67</v>
      </c>
      <c r="B31" s="407" t="s">
        <v>504</v>
      </c>
      <c r="C31" s="185">
        <f t="shared" si="1"/>
        <v>0</v>
      </c>
      <c r="D31" s="187"/>
      <c r="E31" s="187"/>
      <c r="F31" s="327"/>
      <c r="G31" s="185">
        <f>H31+J31</f>
        <v>12806.92</v>
      </c>
      <c r="H31" s="187"/>
      <c r="I31" s="187"/>
      <c r="J31" s="230">
        <v>12806.92</v>
      </c>
      <c r="K31" s="185">
        <f t="shared" si="3"/>
        <v>0</v>
      </c>
      <c r="L31" s="187"/>
      <c r="M31" s="187"/>
      <c r="N31" s="327"/>
      <c r="O31" s="185">
        <f>P31+R31</f>
        <v>2500</v>
      </c>
      <c r="P31" s="187"/>
      <c r="Q31" s="187"/>
      <c r="R31" s="230">
        <v>2500</v>
      </c>
      <c r="S31" s="185">
        <f t="shared" si="19"/>
        <v>15306.92</v>
      </c>
      <c r="T31" s="186">
        <f t="shared" si="16"/>
        <v>0</v>
      </c>
      <c r="U31" s="186">
        <f t="shared" si="17"/>
        <v>0</v>
      </c>
      <c r="V31" s="296">
        <f t="shared" si="18"/>
        <v>15306.92</v>
      </c>
      <c r="W31" s="255"/>
      <c r="X31" s="255"/>
      <c r="Y31" s="255"/>
    </row>
    <row r="32" spans="1:25" ht="16.5" customHeight="1" thickBot="1" x14ac:dyDescent="0.25">
      <c r="A32" s="404"/>
      <c r="B32" s="331" t="s">
        <v>173</v>
      </c>
      <c r="C32" s="332">
        <f>D32+F32</f>
        <v>317800</v>
      </c>
      <c r="D32" s="198">
        <f>SUM(D15,)</f>
        <v>281500</v>
      </c>
      <c r="E32" s="198">
        <f>SUM(E15,)</f>
        <v>0</v>
      </c>
      <c r="F32" s="198">
        <f>SUM(F15,)</f>
        <v>36300</v>
      </c>
      <c r="G32" s="197">
        <f>H32+J32</f>
        <v>852914.62999999989</v>
      </c>
      <c r="H32" s="198">
        <f>SUM(H15,)</f>
        <v>670756.18999999994</v>
      </c>
      <c r="I32" s="198">
        <f>SUM(I15,)</f>
        <v>2095.8000000000002</v>
      </c>
      <c r="J32" s="198">
        <f>SUM(J15,)</f>
        <v>182158.44</v>
      </c>
      <c r="K32" s="197">
        <f>L32+N32</f>
        <v>0</v>
      </c>
      <c r="L32" s="198">
        <f>SUM(L15,)</f>
        <v>0</v>
      </c>
      <c r="M32" s="198">
        <f>SUM(M15,)</f>
        <v>0</v>
      </c>
      <c r="N32" s="198">
        <f>SUM(N15,)</f>
        <v>0</v>
      </c>
      <c r="O32" s="197">
        <f>P32+R32</f>
        <v>101680</v>
      </c>
      <c r="P32" s="198">
        <f>SUM(P15,)</f>
        <v>0</v>
      </c>
      <c r="Q32" s="198">
        <f>SUM(Q15,)</f>
        <v>0</v>
      </c>
      <c r="R32" s="198">
        <f>SUM(R15,)</f>
        <v>101680</v>
      </c>
      <c r="S32" s="197">
        <f t="shared" si="19"/>
        <v>1272394.6299999999</v>
      </c>
      <c r="T32" s="198">
        <f>SUM(T15,)</f>
        <v>952256.19</v>
      </c>
      <c r="U32" s="198">
        <f>SUM(U15,)</f>
        <v>2095.8000000000002</v>
      </c>
      <c r="V32" s="271">
        <f>SUM(V15,)</f>
        <v>320138.44</v>
      </c>
      <c r="W32" s="150"/>
    </row>
    <row r="33" spans="1:24" s="79" customFormat="1" ht="15.75" customHeight="1" thickBot="1" x14ac:dyDescent="0.25">
      <c r="A33" s="506" t="s">
        <v>154</v>
      </c>
      <c r="B33" s="507"/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8"/>
    </row>
    <row r="34" spans="1:24" x14ac:dyDescent="0.2">
      <c r="A34" s="333"/>
      <c r="B34" s="334" t="s">
        <v>363</v>
      </c>
      <c r="C34" s="183">
        <f t="shared" ref="C34:C35" si="28">D34+F34</f>
        <v>0</v>
      </c>
      <c r="D34" s="188"/>
      <c r="E34" s="188"/>
      <c r="F34" s="335"/>
      <c r="G34" s="183">
        <f t="shared" ref="G34:G35" si="29">H34+J34</f>
        <v>87000</v>
      </c>
      <c r="H34" s="188">
        <f>SUM(H35)</f>
        <v>87000</v>
      </c>
      <c r="I34" s="188">
        <f t="shared" ref="I34:J34" si="30">SUM(I35)</f>
        <v>23000</v>
      </c>
      <c r="J34" s="188">
        <f t="shared" si="30"/>
        <v>0</v>
      </c>
      <c r="K34" s="183">
        <f t="shared" ref="K34:K35" si="31">L34+N34</f>
        <v>0</v>
      </c>
      <c r="L34" s="188"/>
      <c r="M34" s="188"/>
      <c r="N34" s="188"/>
      <c r="O34" s="183">
        <f t="shared" ref="O34:O35" si="32">P34+R34</f>
        <v>0</v>
      </c>
      <c r="P34" s="188"/>
      <c r="Q34" s="188"/>
      <c r="R34" s="188"/>
      <c r="S34" s="183">
        <f t="shared" ref="S34:S35" si="33">T34+V34</f>
        <v>87000</v>
      </c>
      <c r="T34" s="184">
        <f>D34+H34+L34+P34</f>
        <v>87000</v>
      </c>
      <c r="U34" s="184">
        <f t="shared" ref="U34:V35" si="34">E34+I34+M34+Q34</f>
        <v>23000</v>
      </c>
      <c r="V34" s="369">
        <f t="shared" si="34"/>
        <v>0</v>
      </c>
      <c r="W34" s="150"/>
    </row>
    <row r="35" spans="1:24" ht="16.5" customHeight="1" x14ac:dyDescent="0.2">
      <c r="A35" s="336" t="s">
        <v>64</v>
      </c>
      <c r="B35" s="337" t="s">
        <v>554</v>
      </c>
      <c r="C35" s="185">
        <f t="shared" si="28"/>
        <v>0</v>
      </c>
      <c r="D35" s="186"/>
      <c r="E35" s="186"/>
      <c r="F35" s="300"/>
      <c r="G35" s="221">
        <f t="shared" si="29"/>
        <v>87000</v>
      </c>
      <c r="H35" s="186">
        <v>87000</v>
      </c>
      <c r="I35" s="186">
        <v>23000</v>
      </c>
      <c r="J35" s="222"/>
      <c r="K35" s="185">
        <f t="shared" si="31"/>
        <v>0</v>
      </c>
      <c r="L35" s="186"/>
      <c r="M35" s="186"/>
      <c r="N35" s="300"/>
      <c r="O35" s="221">
        <f t="shared" si="32"/>
        <v>0</v>
      </c>
      <c r="P35" s="186"/>
      <c r="Q35" s="186"/>
      <c r="R35" s="222"/>
      <c r="S35" s="185">
        <f t="shared" si="33"/>
        <v>87000</v>
      </c>
      <c r="T35" s="186">
        <f t="shared" ref="T35" si="35">D35+H35+L35+P35</f>
        <v>87000</v>
      </c>
      <c r="U35" s="186">
        <f t="shared" si="34"/>
        <v>23000</v>
      </c>
      <c r="V35" s="300">
        <f t="shared" si="34"/>
        <v>0</v>
      </c>
      <c r="W35" s="233"/>
    </row>
    <row r="36" spans="1:24" ht="15" customHeight="1" x14ac:dyDescent="0.2">
      <c r="A36" s="323"/>
      <c r="B36" s="338" t="s">
        <v>134</v>
      </c>
      <c r="C36" s="183">
        <f t="shared" ref="C36:C109" si="36">D36+F36</f>
        <v>2155932.02</v>
      </c>
      <c r="D36" s="184">
        <f>SUM(D37:D84)</f>
        <v>1780524.02</v>
      </c>
      <c r="E36" s="184">
        <f>SUM(E37:E84)</f>
        <v>605610</v>
      </c>
      <c r="F36" s="252">
        <f>SUM(F37:F84)</f>
        <v>375408</v>
      </c>
      <c r="G36" s="246">
        <f t="shared" ref="G36:G109" si="37">H36+J36</f>
        <v>876350.65999999992</v>
      </c>
      <c r="H36" s="184">
        <f>SUM(H37:H84)</f>
        <v>158356.69</v>
      </c>
      <c r="I36" s="184">
        <f>SUM(I37:I84)</f>
        <v>3347.3</v>
      </c>
      <c r="J36" s="184">
        <f>SUM(J37:J84)</f>
        <v>717993.97</v>
      </c>
      <c r="K36" s="183">
        <f t="shared" ref="K36:K109" si="38">L36+N36</f>
        <v>30709.22</v>
      </c>
      <c r="L36" s="184">
        <f>SUM(L37:L84)</f>
        <v>30709.22</v>
      </c>
      <c r="M36" s="184">
        <f>SUM(M37:M84)</f>
        <v>0</v>
      </c>
      <c r="N36" s="275">
        <f>SUM(N37:N84)</f>
        <v>0</v>
      </c>
      <c r="O36" s="339">
        <f t="shared" ref="O36:O109" si="39">P36+R36</f>
        <v>817665.12</v>
      </c>
      <c r="P36" s="184">
        <f>SUM(P37:P84)</f>
        <v>0</v>
      </c>
      <c r="Q36" s="184">
        <f>SUM(Q37:Q84)</f>
        <v>0</v>
      </c>
      <c r="R36" s="184">
        <f>SUM(R37:R84)</f>
        <v>817665.12</v>
      </c>
      <c r="S36" s="183">
        <f t="shared" ref="S36:S135" si="40">T36+V36</f>
        <v>3880657.0199999996</v>
      </c>
      <c r="T36" s="184">
        <f>SUM(T37:T84)</f>
        <v>1969589.9299999997</v>
      </c>
      <c r="U36" s="184">
        <f>SUM(U37:U84)</f>
        <v>608957.30000000005</v>
      </c>
      <c r="V36" s="252">
        <f>SUM(V37:V84)</f>
        <v>1911067.0899999999</v>
      </c>
      <c r="W36" s="147"/>
    </row>
    <row r="37" spans="1:24" ht="16.5" customHeight="1" x14ac:dyDescent="0.2">
      <c r="A37" s="323" t="s">
        <v>63</v>
      </c>
      <c r="B37" s="340" t="s">
        <v>568</v>
      </c>
      <c r="C37" s="185">
        <f t="shared" si="36"/>
        <v>22500</v>
      </c>
      <c r="D37" s="186"/>
      <c r="E37" s="186"/>
      <c r="F37" s="300">
        <v>22500</v>
      </c>
      <c r="G37" s="221">
        <f t="shared" si="37"/>
        <v>0</v>
      </c>
      <c r="H37" s="186"/>
      <c r="I37" s="186"/>
      <c r="J37" s="222"/>
      <c r="K37" s="185">
        <f t="shared" si="38"/>
        <v>0</v>
      </c>
      <c r="L37" s="186"/>
      <c r="M37" s="186"/>
      <c r="N37" s="300"/>
      <c r="O37" s="221">
        <f t="shared" si="39"/>
        <v>0</v>
      </c>
      <c r="P37" s="186"/>
      <c r="Q37" s="186"/>
      <c r="R37" s="222"/>
      <c r="S37" s="185">
        <f t="shared" si="40"/>
        <v>22500</v>
      </c>
      <c r="T37" s="186">
        <f t="shared" ref="T37" si="41">D37+H37+L37+P37</f>
        <v>0</v>
      </c>
      <c r="U37" s="186">
        <f t="shared" ref="U37" si="42">E37+I37+M37+Q37</f>
        <v>0</v>
      </c>
      <c r="V37" s="300">
        <f t="shared" ref="V37" si="43">F37+J37+N37+R37</f>
        <v>22500</v>
      </c>
      <c r="W37" s="150"/>
    </row>
    <row r="38" spans="1:24" ht="16.5" customHeight="1" x14ac:dyDescent="0.2">
      <c r="A38" s="323" t="s">
        <v>64</v>
      </c>
      <c r="B38" s="340" t="s">
        <v>116</v>
      </c>
      <c r="C38" s="185">
        <f t="shared" ref="C38" si="44">D38+F38</f>
        <v>86200</v>
      </c>
      <c r="D38" s="186">
        <f>6900+3000</f>
        <v>9900</v>
      </c>
      <c r="E38" s="186"/>
      <c r="F38" s="300">
        <f>7000+69300</f>
        <v>76300</v>
      </c>
      <c r="G38" s="221">
        <f t="shared" ref="G38" si="45">H38+J38</f>
        <v>0</v>
      </c>
      <c r="H38" s="186"/>
      <c r="I38" s="186"/>
      <c r="J38" s="222"/>
      <c r="K38" s="185">
        <f t="shared" ref="K38" si="46">L38+N38</f>
        <v>0</v>
      </c>
      <c r="L38" s="186"/>
      <c r="M38" s="186"/>
      <c r="N38" s="300"/>
      <c r="O38" s="221">
        <f t="shared" ref="O38" si="47">P38+R38</f>
        <v>0</v>
      </c>
      <c r="P38" s="186"/>
      <c r="Q38" s="186"/>
      <c r="R38" s="222"/>
      <c r="S38" s="185">
        <f t="shared" ref="S38" si="48">T38+V38</f>
        <v>86200</v>
      </c>
      <c r="T38" s="186">
        <f t="shared" ref="T38" si="49">D38+H38+L38+P38</f>
        <v>9900</v>
      </c>
      <c r="U38" s="186">
        <f t="shared" ref="U38" si="50">E38+I38+M38+Q38</f>
        <v>0</v>
      </c>
      <c r="V38" s="300">
        <f t="shared" ref="V38" si="51">F38+J38+N38+R38</f>
        <v>76300</v>
      </c>
      <c r="W38" s="150"/>
    </row>
    <row r="39" spans="1:24" ht="24" customHeight="1" x14ac:dyDescent="0.2">
      <c r="A39" s="323" t="s">
        <v>64</v>
      </c>
      <c r="B39" s="341" t="s">
        <v>405</v>
      </c>
      <c r="C39" s="185">
        <f t="shared" si="36"/>
        <v>8000</v>
      </c>
      <c r="D39" s="186">
        <v>4000</v>
      </c>
      <c r="E39" s="186"/>
      <c r="F39" s="300">
        <v>4000</v>
      </c>
      <c r="G39" s="221">
        <f t="shared" si="37"/>
        <v>0</v>
      </c>
      <c r="H39" s="186"/>
      <c r="I39" s="186"/>
      <c r="J39" s="222"/>
      <c r="K39" s="185">
        <f t="shared" si="38"/>
        <v>0</v>
      </c>
      <c r="L39" s="186"/>
      <c r="M39" s="186"/>
      <c r="N39" s="300"/>
      <c r="O39" s="221">
        <f t="shared" si="39"/>
        <v>0</v>
      </c>
      <c r="P39" s="186"/>
      <c r="Q39" s="186"/>
      <c r="R39" s="222"/>
      <c r="S39" s="185">
        <f t="shared" si="40"/>
        <v>8000</v>
      </c>
      <c r="T39" s="186">
        <f t="shared" ref="T39:T83" si="52">D39+H39+L39+P39</f>
        <v>4000</v>
      </c>
      <c r="U39" s="186">
        <f t="shared" ref="U39:U85" si="53">E39+I39+M39+Q39</f>
        <v>0</v>
      </c>
      <c r="V39" s="300">
        <f t="shared" ref="V39:V85" si="54">F39+J39+N39+R39</f>
        <v>4000</v>
      </c>
      <c r="W39" s="150"/>
    </row>
    <row r="40" spans="1:24" ht="16.5" customHeight="1" x14ac:dyDescent="0.2">
      <c r="A40" s="323" t="s">
        <v>64</v>
      </c>
      <c r="B40" s="342" t="s">
        <v>484</v>
      </c>
      <c r="C40" s="185">
        <f t="shared" si="36"/>
        <v>3008</v>
      </c>
      <c r="D40" s="186">
        <v>2000</v>
      </c>
      <c r="E40" s="186"/>
      <c r="F40" s="300">
        <v>1008</v>
      </c>
      <c r="G40" s="221"/>
      <c r="H40" s="186"/>
      <c r="I40" s="186"/>
      <c r="J40" s="222"/>
      <c r="K40" s="185"/>
      <c r="L40" s="186"/>
      <c r="M40" s="186"/>
      <c r="N40" s="300"/>
      <c r="O40" s="221"/>
      <c r="P40" s="186"/>
      <c r="Q40" s="186"/>
      <c r="R40" s="222"/>
      <c r="S40" s="185">
        <f t="shared" ref="S40" si="55">T40+V40</f>
        <v>3008</v>
      </c>
      <c r="T40" s="186">
        <f t="shared" si="52"/>
        <v>2000</v>
      </c>
      <c r="U40" s="186">
        <f t="shared" si="53"/>
        <v>0</v>
      </c>
      <c r="V40" s="300">
        <f t="shared" si="54"/>
        <v>1008</v>
      </c>
      <c r="W40" s="150"/>
      <c r="X40" s="146"/>
    </row>
    <row r="41" spans="1:24" ht="15.75" customHeight="1" x14ac:dyDescent="0.2">
      <c r="A41" s="336" t="s">
        <v>64</v>
      </c>
      <c r="B41" s="343" t="s">
        <v>319</v>
      </c>
      <c r="C41" s="185">
        <f t="shared" si="36"/>
        <v>10000</v>
      </c>
      <c r="D41" s="187">
        <f>8000+2000</f>
        <v>10000</v>
      </c>
      <c r="E41" s="187"/>
      <c r="F41" s="230"/>
      <c r="G41" s="221">
        <f t="shared" si="37"/>
        <v>0</v>
      </c>
      <c r="H41" s="187"/>
      <c r="I41" s="187"/>
      <c r="J41" s="327"/>
      <c r="K41" s="185">
        <f t="shared" si="38"/>
        <v>0</v>
      </c>
      <c r="L41" s="187"/>
      <c r="M41" s="187"/>
      <c r="N41" s="230"/>
      <c r="O41" s="221">
        <f t="shared" si="39"/>
        <v>0</v>
      </c>
      <c r="P41" s="192"/>
      <c r="Q41" s="192"/>
      <c r="R41" s="253"/>
      <c r="S41" s="185">
        <f t="shared" si="40"/>
        <v>10000</v>
      </c>
      <c r="T41" s="186">
        <f t="shared" si="52"/>
        <v>10000</v>
      </c>
      <c r="U41" s="186">
        <f t="shared" si="53"/>
        <v>0</v>
      </c>
      <c r="V41" s="300">
        <f t="shared" si="54"/>
        <v>0</v>
      </c>
      <c r="W41" s="150"/>
    </row>
    <row r="42" spans="1:24" ht="15.75" customHeight="1" x14ac:dyDescent="0.2">
      <c r="A42" s="336" t="s">
        <v>64</v>
      </c>
      <c r="B42" s="343" t="s">
        <v>560</v>
      </c>
      <c r="C42" s="185">
        <f t="shared" ref="C42" si="56">D42+F42</f>
        <v>22000</v>
      </c>
      <c r="D42" s="187">
        <v>22000</v>
      </c>
      <c r="E42" s="187"/>
      <c r="F42" s="230"/>
      <c r="G42" s="221">
        <f t="shared" ref="G42" si="57">H42+J42</f>
        <v>0</v>
      </c>
      <c r="H42" s="187"/>
      <c r="I42" s="187"/>
      <c r="J42" s="327"/>
      <c r="K42" s="185">
        <f t="shared" ref="K42" si="58">L42+N42</f>
        <v>0</v>
      </c>
      <c r="L42" s="187"/>
      <c r="M42" s="187"/>
      <c r="N42" s="230"/>
      <c r="O42" s="221">
        <f t="shared" ref="O42" si="59">P42+R42</f>
        <v>0</v>
      </c>
      <c r="P42" s="192"/>
      <c r="Q42" s="192"/>
      <c r="R42" s="253"/>
      <c r="S42" s="185">
        <f t="shared" ref="S42" si="60">T42+V42</f>
        <v>22000</v>
      </c>
      <c r="T42" s="186">
        <f t="shared" ref="T42" si="61">D42+H42+L42+P42</f>
        <v>22000</v>
      </c>
      <c r="U42" s="186">
        <f t="shared" ref="U42" si="62">E42+I42+M42+Q42</f>
        <v>0</v>
      </c>
      <c r="V42" s="300">
        <f t="shared" ref="V42" si="63">F42+J42+N42+R42</f>
        <v>0</v>
      </c>
      <c r="W42" s="150"/>
    </row>
    <row r="43" spans="1:24" ht="16.5" customHeight="1" x14ac:dyDescent="0.2">
      <c r="A43" s="336" t="s">
        <v>64</v>
      </c>
      <c r="B43" s="337" t="s">
        <v>158</v>
      </c>
      <c r="C43" s="185">
        <f t="shared" si="36"/>
        <v>50000</v>
      </c>
      <c r="D43" s="186">
        <v>50000</v>
      </c>
      <c r="E43" s="186"/>
      <c r="F43" s="300"/>
      <c r="G43" s="221">
        <f t="shared" si="37"/>
        <v>154900</v>
      </c>
      <c r="H43" s="186">
        <v>154900</v>
      </c>
      <c r="I43" s="186"/>
      <c r="J43" s="222"/>
      <c r="K43" s="185">
        <f t="shared" si="38"/>
        <v>0</v>
      </c>
      <c r="L43" s="186"/>
      <c r="M43" s="186"/>
      <c r="N43" s="300"/>
      <c r="O43" s="221">
        <f t="shared" si="39"/>
        <v>0</v>
      </c>
      <c r="P43" s="186"/>
      <c r="Q43" s="186"/>
      <c r="R43" s="222"/>
      <c r="S43" s="185">
        <f t="shared" si="40"/>
        <v>204900</v>
      </c>
      <c r="T43" s="186">
        <f t="shared" si="52"/>
        <v>204900</v>
      </c>
      <c r="U43" s="186">
        <f t="shared" si="53"/>
        <v>0</v>
      </c>
      <c r="V43" s="300">
        <f t="shared" si="54"/>
        <v>0</v>
      </c>
      <c r="W43" s="233"/>
    </row>
    <row r="44" spans="1:24" ht="12.75" customHeight="1" x14ac:dyDescent="0.2">
      <c r="A44" s="329" t="s">
        <v>64</v>
      </c>
      <c r="B44" s="344" t="s">
        <v>160</v>
      </c>
      <c r="C44" s="185">
        <f t="shared" si="36"/>
        <v>24000</v>
      </c>
      <c r="D44" s="186">
        <v>1000</v>
      </c>
      <c r="E44" s="186"/>
      <c r="F44" s="300">
        <f>10000+2000+3000+5000+3000</f>
        <v>23000</v>
      </c>
      <c r="G44" s="221">
        <f t="shared" si="37"/>
        <v>0</v>
      </c>
      <c r="H44" s="186"/>
      <c r="I44" s="186"/>
      <c r="J44" s="222"/>
      <c r="K44" s="185">
        <f t="shared" si="38"/>
        <v>0</v>
      </c>
      <c r="L44" s="186"/>
      <c r="M44" s="186"/>
      <c r="N44" s="300"/>
      <c r="O44" s="221">
        <f t="shared" si="39"/>
        <v>0</v>
      </c>
      <c r="P44" s="186"/>
      <c r="Q44" s="186"/>
      <c r="R44" s="222"/>
      <c r="S44" s="185">
        <f t="shared" si="40"/>
        <v>24000</v>
      </c>
      <c r="T44" s="186">
        <f t="shared" si="52"/>
        <v>1000</v>
      </c>
      <c r="U44" s="186">
        <f t="shared" si="53"/>
        <v>0</v>
      </c>
      <c r="V44" s="300">
        <f t="shared" si="54"/>
        <v>23000</v>
      </c>
      <c r="W44" s="150"/>
      <c r="X44" s="146"/>
    </row>
    <row r="45" spans="1:24" ht="12.75" customHeight="1" x14ac:dyDescent="0.2">
      <c r="A45" s="329" t="s">
        <v>64</v>
      </c>
      <c r="B45" s="344" t="s">
        <v>569</v>
      </c>
      <c r="C45" s="185">
        <f t="shared" ref="C45" si="64">D45+F45</f>
        <v>15000</v>
      </c>
      <c r="D45" s="186"/>
      <c r="E45" s="186"/>
      <c r="F45" s="300">
        <v>15000</v>
      </c>
      <c r="G45" s="221">
        <f t="shared" ref="G45" si="65">H45+J45</f>
        <v>0</v>
      </c>
      <c r="H45" s="186"/>
      <c r="I45" s="186"/>
      <c r="J45" s="222"/>
      <c r="K45" s="185">
        <f t="shared" ref="K45" si="66">L45+N45</f>
        <v>0</v>
      </c>
      <c r="L45" s="186"/>
      <c r="M45" s="186"/>
      <c r="N45" s="300"/>
      <c r="O45" s="221">
        <f t="shared" ref="O45" si="67">P45+R45</f>
        <v>0</v>
      </c>
      <c r="P45" s="186"/>
      <c r="Q45" s="186"/>
      <c r="R45" s="222"/>
      <c r="S45" s="185">
        <f t="shared" ref="S45" si="68">T45+V45</f>
        <v>15000</v>
      </c>
      <c r="T45" s="186">
        <f t="shared" ref="T45" si="69">D45+H45+L45+P45</f>
        <v>0</v>
      </c>
      <c r="U45" s="186">
        <f t="shared" ref="U45" si="70">E45+I45+M45+Q45</f>
        <v>0</v>
      </c>
      <c r="V45" s="300">
        <f t="shared" ref="V45" si="71">F45+J45+N45+R45</f>
        <v>15000</v>
      </c>
      <c r="W45" s="150"/>
      <c r="X45" s="146"/>
    </row>
    <row r="46" spans="1:24" ht="27" customHeight="1" x14ac:dyDescent="0.2">
      <c r="A46" s="336" t="s">
        <v>64</v>
      </c>
      <c r="B46" s="408" t="s">
        <v>496</v>
      </c>
      <c r="C46" s="185"/>
      <c r="D46" s="186"/>
      <c r="E46" s="186"/>
      <c r="F46" s="300"/>
      <c r="G46" s="221"/>
      <c r="H46" s="186"/>
      <c r="I46" s="186"/>
      <c r="J46" s="222"/>
      <c r="K46" s="185"/>
      <c r="L46" s="186"/>
      <c r="M46" s="186"/>
      <c r="N46" s="300"/>
      <c r="O46" s="221">
        <f t="shared" si="39"/>
        <v>200000</v>
      </c>
      <c r="P46" s="186"/>
      <c r="Q46" s="186"/>
      <c r="R46" s="222">
        <v>200000</v>
      </c>
      <c r="S46" s="185">
        <f t="shared" si="40"/>
        <v>200000</v>
      </c>
      <c r="T46" s="186">
        <f t="shared" si="52"/>
        <v>0</v>
      </c>
      <c r="U46" s="186">
        <f t="shared" si="53"/>
        <v>0</v>
      </c>
      <c r="V46" s="300">
        <f t="shared" si="54"/>
        <v>200000</v>
      </c>
      <c r="W46" s="150"/>
      <c r="X46" s="146"/>
    </row>
    <row r="47" spans="1:24" ht="27" customHeight="1" x14ac:dyDescent="0.2">
      <c r="A47" s="329" t="s">
        <v>64</v>
      </c>
      <c r="B47" s="337" t="s">
        <v>519</v>
      </c>
      <c r="C47" s="185">
        <f t="shared" ref="C47" si="72">D47+F47</f>
        <v>0</v>
      </c>
      <c r="D47" s="186"/>
      <c r="E47" s="186"/>
      <c r="F47" s="300"/>
      <c r="G47" s="221">
        <f t="shared" ref="G47" si="73">H47+J47</f>
        <v>141603.81</v>
      </c>
      <c r="H47" s="186"/>
      <c r="I47" s="186"/>
      <c r="J47" s="222">
        <f>157000-15396.19</f>
        <v>141603.81</v>
      </c>
      <c r="K47" s="185">
        <f t="shared" ref="K47" si="74">L47+N47</f>
        <v>0</v>
      </c>
      <c r="L47" s="186"/>
      <c r="M47" s="186"/>
      <c r="N47" s="300"/>
      <c r="O47" s="221">
        <f t="shared" ref="O47" si="75">P47+R47</f>
        <v>0</v>
      </c>
      <c r="P47" s="186"/>
      <c r="Q47" s="186"/>
      <c r="R47" s="222"/>
      <c r="S47" s="185">
        <f t="shared" ref="S47" si="76">T47+V47</f>
        <v>141603.81</v>
      </c>
      <c r="T47" s="186">
        <f t="shared" ref="T47" si="77">D47+H47+L47+P47</f>
        <v>0</v>
      </c>
      <c r="U47" s="186">
        <f t="shared" ref="U47" si="78">E47+I47+M47+Q47</f>
        <v>0</v>
      </c>
      <c r="V47" s="300">
        <f t="shared" ref="V47" si="79">F47+J47+N47+R47</f>
        <v>141603.81</v>
      </c>
      <c r="W47" s="150"/>
      <c r="X47" s="146"/>
    </row>
    <row r="48" spans="1:24" ht="27" customHeight="1" x14ac:dyDescent="0.2">
      <c r="A48" s="329" t="s">
        <v>64</v>
      </c>
      <c r="B48" s="337" t="s">
        <v>520</v>
      </c>
      <c r="C48" s="185">
        <f t="shared" ref="C48:C51" si="80">D48+F48</f>
        <v>0</v>
      </c>
      <c r="D48" s="186"/>
      <c r="E48" s="186"/>
      <c r="F48" s="300"/>
      <c r="G48" s="221">
        <f t="shared" ref="G48:G51" si="81">H48+J48</f>
        <v>24983.02</v>
      </c>
      <c r="H48" s="186"/>
      <c r="I48" s="186"/>
      <c r="J48" s="222">
        <f>27700-2716.98</f>
        <v>24983.02</v>
      </c>
      <c r="K48" s="185">
        <f t="shared" ref="K48:K51" si="82">L48+N48</f>
        <v>0</v>
      </c>
      <c r="L48" s="186"/>
      <c r="M48" s="186"/>
      <c r="N48" s="300"/>
      <c r="O48" s="221">
        <f t="shared" ref="O48:O51" si="83">P48+R48</f>
        <v>0</v>
      </c>
      <c r="P48" s="186"/>
      <c r="Q48" s="186"/>
      <c r="R48" s="222"/>
      <c r="S48" s="185">
        <f t="shared" ref="S48:S51" si="84">T48+V48</f>
        <v>24983.02</v>
      </c>
      <c r="T48" s="186">
        <f t="shared" ref="T48:T51" si="85">D48+H48+L48+P48</f>
        <v>0</v>
      </c>
      <c r="U48" s="186">
        <f t="shared" ref="U48:U51" si="86">E48+I48+M48+Q48</f>
        <v>0</v>
      </c>
      <c r="V48" s="300">
        <f t="shared" ref="V48:V51" si="87">F48+J48+N48+R48</f>
        <v>24983.02</v>
      </c>
      <c r="W48" s="150"/>
      <c r="X48" s="146"/>
    </row>
    <row r="49" spans="1:25" ht="27" customHeight="1" x14ac:dyDescent="0.2">
      <c r="A49" s="329" t="s">
        <v>64</v>
      </c>
      <c r="B49" s="337" t="s">
        <v>521</v>
      </c>
      <c r="C49" s="185">
        <f t="shared" si="80"/>
        <v>0</v>
      </c>
      <c r="D49" s="186"/>
      <c r="E49" s="186"/>
      <c r="F49" s="300"/>
      <c r="G49" s="221">
        <f t="shared" si="81"/>
        <v>15396.19</v>
      </c>
      <c r="H49" s="186"/>
      <c r="I49" s="186"/>
      <c r="J49" s="222">
        <v>15396.19</v>
      </c>
      <c r="K49" s="185">
        <f t="shared" si="82"/>
        <v>0</v>
      </c>
      <c r="L49" s="186"/>
      <c r="M49" s="186"/>
      <c r="N49" s="300"/>
      <c r="O49" s="221">
        <f t="shared" si="83"/>
        <v>0</v>
      </c>
      <c r="P49" s="186"/>
      <c r="Q49" s="186"/>
      <c r="R49" s="222"/>
      <c r="S49" s="185">
        <f t="shared" si="84"/>
        <v>15396.19</v>
      </c>
      <c r="T49" s="186">
        <f t="shared" si="85"/>
        <v>0</v>
      </c>
      <c r="U49" s="186">
        <f t="shared" si="86"/>
        <v>0</v>
      </c>
      <c r="V49" s="300">
        <f t="shared" si="87"/>
        <v>15396.19</v>
      </c>
      <c r="W49" s="150"/>
      <c r="X49" s="146"/>
    </row>
    <row r="50" spans="1:25" ht="27" customHeight="1" x14ac:dyDescent="0.2">
      <c r="A50" s="329" t="s">
        <v>64</v>
      </c>
      <c r="B50" s="337" t="s">
        <v>522</v>
      </c>
      <c r="C50" s="185">
        <f t="shared" si="80"/>
        <v>0</v>
      </c>
      <c r="D50" s="186"/>
      <c r="E50" s="186"/>
      <c r="F50" s="300"/>
      <c r="G50" s="221">
        <f t="shared" si="81"/>
        <v>2716.98</v>
      </c>
      <c r="H50" s="186"/>
      <c r="I50" s="186"/>
      <c r="J50" s="222">
        <v>2716.98</v>
      </c>
      <c r="K50" s="185">
        <f t="shared" si="82"/>
        <v>0</v>
      </c>
      <c r="L50" s="186"/>
      <c r="M50" s="186"/>
      <c r="N50" s="300"/>
      <c r="O50" s="221">
        <f t="shared" si="83"/>
        <v>0</v>
      </c>
      <c r="P50" s="186"/>
      <c r="Q50" s="186"/>
      <c r="R50" s="222"/>
      <c r="S50" s="185">
        <f t="shared" si="84"/>
        <v>2716.98</v>
      </c>
      <c r="T50" s="186">
        <f t="shared" si="85"/>
        <v>0</v>
      </c>
      <c r="U50" s="186">
        <f t="shared" si="86"/>
        <v>0</v>
      </c>
      <c r="V50" s="300">
        <f t="shared" si="87"/>
        <v>2716.98</v>
      </c>
      <c r="W50" s="150"/>
      <c r="X50" s="146"/>
    </row>
    <row r="51" spans="1:25" ht="25.5" customHeight="1" x14ac:dyDescent="0.2">
      <c r="A51" s="329" t="s">
        <v>64</v>
      </c>
      <c r="B51" s="337" t="s">
        <v>572</v>
      </c>
      <c r="C51" s="185">
        <f t="shared" si="80"/>
        <v>30000</v>
      </c>
      <c r="D51" s="186"/>
      <c r="E51" s="186"/>
      <c r="F51" s="300">
        <v>30000</v>
      </c>
      <c r="G51" s="221">
        <f t="shared" si="81"/>
        <v>0</v>
      </c>
      <c r="H51" s="186"/>
      <c r="I51" s="186"/>
      <c r="J51" s="222"/>
      <c r="K51" s="185">
        <f t="shared" si="82"/>
        <v>0</v>
      </c>
      <c r="L51" s="186"/>
      <c r="M51" s="186"/>
      <c r="N51" s="300"/>
      <c r="O51" s="221">
        <f t="shared" si="83"/>
        <v>0</v>
      </c>
      <c r="P51" s="186"/>
      <c r="Q51" s="186"/>
      <c r="R51" s="222"/>
      <c r="S51" s="185">
        <f t="shared" si="84"/>
        <v>30000</v>
      </c>
      <c r="T51" s="186">
        <f t="shared" si="85"/>
        <v>0</v>
      </c>
      <c r="U51" s="186">
        <f t="shared" si="86"/>
        <v>0</v>
      </c>
      <c r="V51" s="300">
        <f t="shared" si="87"/>
        <v>30000</v>
      </c>
      <c r="W51" s="150"/>
      <c r="X51" s="146"/>
    </row>
    <row r="52" spans="1:25" ht="16.5" customHeight="1" x14ac:dyDescent="0.2">
      <c r="A52" s="323" t="s">
        <v>65</v>
      </c>
      <c r="B52" s="342" t="s">
        <v>409</v>
      </c>
      <c r="C52" s="185">
        <f t="shared" si="36"/>
        <v>1500</v>
      </c>
      <c r="D52" s="186">
        <v>1500</v>
      </c>
      <c r="E52" s="186"/>
      <c r="F52" s="300"/>
      <c r="G52" s="221">
        <f t="shared" si="37"/>
        <v>0</v>
      </c>
      <c r="H52" s="186"/>
      <c r="I52" s="186"/>
      <c r="J52" s="222"/>
      <c r="K52" s="185">
        <f t="shared" si="38"/>
        <v>0</v>
      </c>
      <c r="L52" s="186"/>
      <c r="M52" s="186"/>
      <c r="N52" s="300"/>
      <c r="O52" s="221">
        <f t="shared" si="39"/>
        <v>0</v>
      </c>
      <c r="P52" s="186"/>
      <c r="Q52" s="186"/>
      <c r="R52" s="222"/>
      <c r="S52" s="185">
        <f t="shared" si="40"/>
        <v>1500</v>
      </c>
      <c r="T52" s="186">
        <f t="shared" si="52"/>
        <v>1500</v>
      </c>
      <c r="U52" s="186">
        <f t="shared" si="53"/>
        <v>0</v>
      </c>
      <c r="V52" s="230">
        <f t="shared" si="54"/>
        <v>0</v>
      </c>
      <c r="X52" s="146"/>
    </row>
    <row r="53" spans="1:25" ht="14.25" customHeight="1" x14ac:dyDescent="0.2">
      <c r="A53" s="323" t="s">
        <v>65</v>
      </c>
      <c r="B53" s="346" t="s">
        <v>137</v>
      </c>
      <c r="C53" s="185">
        <f t="shared" si="36"/>
        <v>23000</v>
      </c>
      <c r="D53" s="186">
        <f>75000-30000-10000-12000</f>
        <v>23000</v>
      </c>
      <c r="E53" s="186"/>
      <c r="F53" s="300"/>
      <c r="G53" s="221">
        <f t="shared" si="37"/>
        <v>0</v>
      </c>
      <c r="H53" s="186"/>
      <c r="I53" s="186"/>
      <c r="J53" s="222"/>
      <c r="K53" s="185">
        <f t="shared" si="38"/>
        <v>0</v>
      </c>
      <c r="L53" s="186"/>
      <c r="M53" s="186"/>
      <c r="N53" s="300"/>
      <c r="O53" s="221">
        <f t="shared" si="39"/>
        <v>0</v>
      </c>
      <c r="P53" s="186"/>
      <c r="Q53" s="186"/>
      <c r="R53" s="222"/>
      <c r="S53" s="185">
        <f t="shared" si="40"/>
        <v>23000</v>
      </c>
      <c r="T53" s="186">
        <f t="shared" si="52"/>
        <v>23000</v>
      </c>
      <c r="U53" s="186">
        <f t="shared" si="53"/>
        <v>0</v>
      </c>
      <c r="V53" s="300">
        <f t="shared" si="54"/>
        <v>0</v>
      </c>
      <c r="W53" s="233"/>
      <c r="X53" s="146"/>
      <c r="Y53" s="146"/>
    </row>
    <row r="54" spans="1:25" ht="26.25" customHeight="1" x14ac:dyDescent="0.2">
      <c r="A54" s="323" t="s">
        <v>65</v>
      </c>
      <c r="B54" s="346" t="s">
        <v>419</v>
      </c>
      <c r="C54" s="185">
        <f t="shared" ref="C54:C55" si="88">D54+F54</f>
        <v>30000</v>
      </c>
      <c r="D54" s="186"/>
      <c r="E54" s="186"/>
      <c r="F54" s="300">
        <v>30000</v>
      </c>
      <c r="G54" s="221">
        <f t="shared" ref="G54:G55" si="89">H54+J54</f>
        <v>0</v>
      </c>
      <c r="H54" s="186"/>
      <c r="I54" s="186"/>
      <c r="J54" s="222"/>
      <c r="K54" s="185">
        <f t="shared" ref="K54:K55" si="90">L54+N54</f>
        <v>0</v>
      </c>
      <c r="L54" s="186"/>
      <c r="M54" s="186"/>
      <c r="N54" s="300"/>
      <c r="O54" s="221">
        <f t="shared" ref="O54:O55" si="91">P54+R54</f>
        <v>0</v>
      </c>
      <c r="P54" s="186"/>
      <c r="Q54" s="186"/>
      <c r="R54" s="222"/>
      <c r="S54" s="185">
        <f t="shared" ref="S54:S55" si="92">T54+V54</f>
        <v>30000</v>
      </c>
      <c r="T54" s="186">
        <f t="shared" si="52"/>
        <v>0</v>
      </c>
      <c r="U54" s="186">
        <f t="shared" si="53"/>
        <v>0</v>
      </c>
      <c r="V54" s="300">
        <f t="shared" si="54"/>
        <v>30000</v>
      </c>
      <c r="W54" s="233"/>
      <c r="X54" s="146"/>
      <c r="Y54" s="146"/>
    </row>
    <row r="55" spans="1:25" ht="39" customHeight="1" x14ac:dyDescent="0.2">
      <c r="A55" s="323" t="s">
        <v>65</v>
      </c>
      <c r="B55" s="346" t="s">
        <v>576</v>
      </c>
      <c r="C55" s="185">
        <f t="shared" si="88"/>
        <v>10000</v>
      </c>
      <c r="D55" s="186">
        <v>10000</v>
      </c>
      <c r="E55" s="186"/>
      <c r="F55" s="300"/>
      <c r="G55" s="221">
        <f t="shared" si="89"/>
        <v>0</v>
      </c>
      <c r="H55" s="186"/>
      <c r="I55" s="186"/>
      <c r="J55" s="222"/>
      <c r="K55" s="185">
        <f t="shared" si="90"/>
        <v>0</v>
      </c>
      <c r="L55" s="186"/>
      <c r="M55" s="186"/>
      <c r="N55" s="300"/>
      <c r="O55" s="221">
        <f t="shared" si="91"/>
        <v>0</v>
      </c>
      <c r="P55" s="186"/>
      <c r="Q55" s="186"/>
      <c r="R55" s="222"/>
      <c r="S55" s="185">
        <f t="shared" si="92"/>
        <v>10000</v>
      </c>
      <c r="T55" s="186">
        <f t="shared" ref="T55" si="93">D55+H55+L55+P55</f>
        <v>10000</v>
      </c>
      <c r="U55" s="186">
        <f t="shared" ref="U55" si="94">E55+I55+M55+Q55</f>
        <v>0</v>
      </c>
      <c r="V55" s="300">
        <f t="shared" ref="V55" si="95">F55+J55+N55+R55</f>
        <v>0</v>
      </c>
      <c r="W55" s="233"/>
      <c r="X55" s="146"/>
      <c r="Y55" s="146"/>
    </row>
    <row r="56" spans="1:25" ht="39" customHeight="1" x14ac:dyDescent="0.2">
      <c r="A56" s="323" t="s">
        <v>65</v>
      </c>
      <c r="B56" s="346" t="s">
        <v>577</v>
      </c>
      <c r="C56" s="185">
        <f t="shared" ref="C56" si="96">D56+F56</f>
        <v>10000</v>
      </c>
      <c r="D56" s="186">
        <v>10000</v>
      </c>
      <c r="E56" s="186"/>
      <c r="F56" s="300"/>
      <c r="G56" s="221">
        <f t="shared" ref="G56" si="97">H56+J56</f>
        <v>0</v>
      </c>
      <c r="H56" s="186"/>
      <c r="I56" s="186"/>
      <c r="J56" s="222"/>
      <c r="K56" s="185">
        <f t="shared" ref="K56" si="98">L56+N56</f>
        <v>0</v>
      </c>
      <c r="L56" s="186"/>
      <c r="M56" s="186"/>
      <c r="N56" s="300"/>
      <c r="O56" s="221">
        <f t="shared" ref="O56" si="99">P56+R56</f>
        <v>0</v>
      </c>
      <c r="P56" s="186"/>
      <c r="Q56" s="186"/>
      <c r="R56" s="222"/>
      <c r="S56" s="185">
        <f t="shared" ref="S56" si="100">T56+V56</f>
        <v>10000</v>
      </c>
      <c r="T56" s="186">
        <f t="shared" ref="T56" si="101">D56+H56+L56+P56</f>
        <v>10000</v>
      </c>
      <c r="U56" s="186">
        <f t="shared" ref="U56" si="102">E56+I56+M56+Q56</f>
        <v>0</v>
      </c>
      <c r="V56" s="300">
        <f t="shared" ref="V56" si="103">F56+J56+N56+R56</f>
        <v>0</v>
      </c>
      <c r="W56" s="274"/>
      <c r="X56" s="255"/>
      <c r="Y56" s="146"/>
    </row>
    <row r="57" spans="1:25" ht="26.25" customHeight="1" x14ac:dyDescent="0.2">
      <c r="A57" s="323" t="s">
        <v>65</v>
      </c>
      <c r="B57" s="346" t="s">
        <v>578</v>
      </c>
      <c r="C57" s="185">
        <f t="shared" ref="C57" si="104">D57+F57</f>
        <v>29733.86</v>
      </c>
      <c r="D57" s="186">
        <f>44851.86-10000-5118</f>
        <v>29733.86</v>
      </c>
      <c r="E57" s="186"/>
      <c r="F57" s="300"/>
      <c r="G57" s="221">
        <f t="shared" ref="G57" si="105">H57+J57</f>
        <v>0</v>
      </c>
      <c r="H57" s="186"/>
      <c r="I57" s="186"/>
      <c r="J57" s="222"/>
      <c r="K57" s="185">
        <f t="shared" ref="K57" si="106">L57+N57</f>
        <v>0</v>
      </c>
      <c r="L57" s="186"/>
      <c r="M57" s="186"/>
      <c r="N57" s="300"/>
      <c r="O57" s="221">
        <f t="shared" ref="O57" si="107">P57+R57</f>
        <v>0</v>
      </c>
      <c r="P57" s="186"/>
      <c r="Q57" s="186"/>
      <c r="R57" s="222"/>
      <c r="S57" s="185">
        <f t="shared" ref="S57" si="108">T57+V57</f>
        <v>29733.86</v>
      </c>
      <c r="T57" s="186">
        <f t="shared" ref="T57" si="109">D57+H57+L57+P57</f>
        <v>29733.86</v>
      </c>
      <c r="U57" s="186">
        <f t="shared" ref="U57" si="110">E57+I57+M57+Q57</f>
        <v>0</v>
      </c>
      <c r="V57" s="300">
        <f t="shared" ref="V57" si="111">F57+J57+N57+R57</f>
        <v>0</v>
      </c>
      <c r="W57" s="233"/>
      <c r="X57" s="146"/>
      <c r="Y57" s="146"/>
    </row>
    <row r="58" spans="1:25" ht="24.75" customHeight="1" x14ac:dyDescent="0.2">
      <c r="A58" s="323" t="s">
        <v>65</v>
      </c>
      <c r="B58" s="347" t="s">
        <v>571</v>
      </c>
      <c r="C58" s="185">
        <f t="shared" si="36"/>
        <v>792540</v>
      </c>
      <c r="D58" s="186">
        <f>810000-17460</f>
        <v>792540</v>
      </c>
      <c r="E58" s="186"/>
      <c r="F58" s="300"/>
      <c r="G58" s="221">
        <f t="shared" si="37"/>
        <v>0</v>
      </c>
      <c r="H58" s="186"/>
      <c r="I58" s="186"/>
      <c r="J58" s="222"/>
      <c r="K58" s="185">
        <f t="shared" si="38"/>
        <v>0</v>
      </c>
      <c r="L58" s="186"/>
      <c r="M58" s="186"/>
      <c r="N58" s="300"/>
      <c r="O58" s="221">
        <f t="shared" si="39"/>
        <v>0</v>
      </c>
      <c r="P58" s="186"/>
      <c r="Q58" s="186"/>
      <c r="R58" s="222"/>
      <c r="S58" s="185">
        <f t="shared" si="40"/>
        <v>792540</v>
      </c>
      <c r="T58" s="186">
        <f t="shared" si="52"/>
        <v>792540</v>
      </c>
      <c r="U58" s="186">
        <f t="shared" si="53"/>
        <v>0</v>
      </c>
      <c r="V58" s="230">
        <f t="shared" si="54"/>
        <v>0</v>
      </c>
      <c r="W58" s="146"/>
    </row>
    <row r="59" spans="1:25" ht="26.25" customHeight="1" x14ac:dyDescent="0.2">
      <c r="A59" s="323" t="s">
        <v>65</v>
      </c>
      <c r="B59" s="346" t="s">
        <v>570</v>
      </c>
      <c r="C59" s="185">
        <f t="shared" si="36"/>
        <v>17460</v>
      </c>
      <c r="D59" s="186">
        <v>17460</v>
      </c>
      <c r="E59" s="186"/>
      <c r="F59" s="300"/>
      <c r="G59" s="221">
        <f t="shared" si="37"/>
        <v>0</v>
      </c>
      <c r="H59" s="186"/>
      <c r="I59" s="186"/>
      <c r="J59" s="222"/>
      <c r="K59" s="185">
        <f t="shared" si="38"/>
        <v>0</v>
      </c>
      <c r="L59" s="186"/>
      <c r="M59" s="186"/>
      <c r="N59" s="300"/>
      <c r="O59" s="221">
        <f t="shared" si="39"/>
        <v>0</v>
      </c>
      <c r="P59" s="186"/>
      <c r="Q59" s="186"/>
      <c r="R59" s="222"/>
      <c r="S59" s="185">
        <f t="shared" si="40"/>
        <v>17460</v>
      </c>
      <c r="T59" s="186">
        <f t="shared" si="52"/>
        <v>17460</v>
      </c>
      <c r="U59" s="186">
        <f t="shared" si="53"/>
        <v>0</v>
      </c>
      <c r="V59" s="230">
        <f t="shared" si="54"/>
        <v>0</v>
      </c>
      <c r="X59" s="146"/>
    </row>
    <row r="60" spans="1:25" ht="24.75" customHeight="1" x14ac:dyDescent="0.2">
      <c r="A60" s="323" t="s">
        <v>65</v>
      </c>
      <c r="B60" s="347" t="s">
        <v>579</v>
      </c>
      <c r="C60" s="185">
        <f t="shared" ref="C60" si="112">D60+F60</f>
        <v>25630.93</v>
      </c>
      <c r="D60" s="186">
        <v>25630.93</v>
      </c>
      <c r="E60" s="186"/>
      <c r="F60" s="300"/>
      <c r="G60" s="221">
        <f t="shared" ref="G60" si="113">H60+J60</f>
        <v>0</v>
      </c>
      <c r="H60" s="186"/>
      <c r="I60" s="186"/>
      <c r="J60" s="222"/>
      <c r="K60" s="185">
        <f t="shared" ref="K60" si="114">L60+N60</f>
        <v>0</v>
      </c>
      <c r="L60" s="186"/>
      <c r="M60" s="186"/>
      <c r="N60" s="300"/>
      <c r="O60" s="221">
        <f t="shared" ref="O60" si="115">P60+R60</f>
        <v>0</v>
      </c>
      <c r="P60" s="186"/>
      <c r="Q60" s="186"/>
      <c r="R60" s="222"/>
      <c r="S60" s="185">
        <f t="shared" ref="S60" si="116">T60+V60</f>
        <v>25630.93</v>
      </c>
      <c r="T60" s="186">
        <f t="shared" ref="T60" si="117">D60+H60+L60+P60</f>
        <v>25630.93</v>
      </c>
      <c r="U60" s="186">
        <f t="shared" ref="U60" si="118">E60+I60+M60+Q60</f>
        <v>0</v>
      </c>
      <c r="V60" s="230">
        <f t="shared" ref="V60" si="119">F60+J60+N60+R60</f>
        <v>0</v>
      </c>
      <c r="W60" s="146"/>
    </row>
    <row r="61" spans="1:25" ht="26.25" customHeight="1" x14ac:dyDescent="0.2">
      <c r="A61" s="323" t="s">
        <v>65</v>
      </c>
      <c r="B61" s="346" t="s">
        <v>563</v>
      </c>
      <c r="C61" s="185">
        <f t="shared" ref="C61" si="120">D61+F61</f>
        <v>18000</v>
      </c>
      <c r="D61" s="186">
        <v>18000</v>
      </c>
      <c r="E61" s="186"/>
      <c r="F61" s="300"/>
      <c r="G61" s="221">
        <f t="shared" ref="G61" si="121">H61+J61</f>
        <v>0</v>
      </c>
      <c r="H61" s="186"/>
      <c r="I61" s="186"/>
      <c r="J61" s="222"/>
      <c r="K61" s="185">
        <f t="shared" ref="K61" si="122">L61+N61</f>
        <v>0</v>
      </c>
      <c r="L61" s="186"/>
      <c r="M61" s="186"/>
      <c r="N61" s="300"/>
      <c r="O61" s="221">
        <f t="shared" ref="O61" si="123">P61+R61</f>
        <v>0</v>
      </c>
      <c r="P61" s="186"/>
      <c r="Q61" s="186"/>
      <c r="R61" s="222"/>
      <c r="S61" s="185">
        <f t="shared" ref="S61" si="124">T61+V61</f>
        <v>18000</v>
      </c>
      <c r="T61" s="186">
        <f t="shared" ref="T61" si="125">D61+H61+L61+P61</f>
        <v>18000</v>
      </c>
      <c r="U61" s="186">
        <f t="shared" ref="U61" si="126">E61+I61+M61+Q61</f>
        <v>0</v>
      </c>
      <c r="V61" s="230">
        <f t="shared" ref="V61" si="127">F61+J61+N61+R61</f>
        <v>0</v>
      </c>
      <c r="X61" s="146"/>
    </row>
    <row r="62" spans="1:25" ht="23.25" customHeight="1" x14ac:dyDescent="0.2">
      <c r="A62" s="323" t="s">
        <v>66</v>
      </c>
      <c r="B62" s="347" t="s">
        <v>406</v>
      </c>
      <c r="C62" s="185">
        <f t="shared" si="36"/>
        <v>51000</v>
      </c>
      <c r="D62" s="186">
        <v>6000</v>
      </c>
      <c r="E62" s="186"/>
      <c r="F62" s="300">
        <v>45000</v>
      </c>
      <c r="G62" s="221">
        <f t="shared" si="37"/>
        <v>0</v>
      </c>
      <c r="H62" s="186"/>
      <c r="I62" s="186"/>
      <c r="J62" s="222"/>
      <c r="K62" s="185">
        <f t="shared" si="38"/>
        <v>0</v>
      </c>
      <c r="L62" s="186"/>
      <c r="M62" s="186"/>
      <c r="N62" s="300"/>
      <c r="O62" s="221">
        <f t="shared" si="39"/>
        <v>0</v>
      </c>
      <c r="P62" s="186"/>
      <c r="Q62" s="186"/>
      <c r="R62" s="222"/>
      <c r="S62" s="185">
        <f t="shared" si="40"/>
        <v>51000</v>
      </c>
      <c r="T62" s="186">
        <f t="shared" si="52"/>
        <v>6000</v>
      </c>
      <c r="U62" s="186">
        <f t="shared" si="53"/>
        <v>0</v>
      </c>
      <c r="V62" s="300">
        <f t="shared" si="54"/>
        <v>45000</v>
      </c>
      <c r="W62" s="150"/>
      <c r="X62" s="146"/>
    </row>
    <row r="63" spans="1:25" ht="26.25" customHeight="1" x14ac:dyDescent="0.2">
      <c r="A63" s="323"/>
      <c r="B63" s="347" t="s">
        <v>587</v>
      </c>
      <c r="C63" s="185">
        <f t="shared" si="36"/>
        <v>1600</v>
      </c>
      <c r="D63" s="186"/>
      <c r="E63" s="186"/>
      <c r="F63" s="300">
        <v>1600</v>
      </c>
      <c r="G63" s="221"/>
      <c r="H63" s="186"/>
      <c r="I63" s="186"/>
      <c r="J63" s="222"/>
      <c r="K63" s="185"/>
      <c r="L63" s="186"/>
      <c r="M63" s="186"/>
      <c r="N63" s="300"/>
      <c r="O63" s="221"/>
      <c r="P63" s="186"/>
      <c r="Q63" s="186"/>
      <c r="R63" s="222"/>
      <c r="S63" s="185">
        <f t="shared" ref="S63" si="128">T63+V63</f>
        <v>1600</v>
      </c>
      <c r="T63" s="186">
        <f t="shared" si="52"/>
        <v>0</v>
      </c>
      <c r="U63" s="186">
        <f t="shared" si="53"/>
        <v>0</v>
      </c>
      <c r="V63" s="300">
        <f t="shared" si="54"/>
        <v>1600</v>
      </c>
      <c r="W63" s="150"/>
      <c r="X63" s="146"/>
    </row>
    <row r="64" spans="1:25" ht="17.25" customHeight="1" x14ac:dyDescent="0.2">
      <c r="A64" s="323" t="s">
        <v>66</v>
      </c>
      <c r="B64" s="347" t="s">
        <v>161</v>
      </c>
      <c r="C64" s="185">
        <f t="shared" ref="C64:C66" si="129">D64+F64</f>
        <v>82000</v>
      </c>
      <c r="D64" s="186"/>
      <c r="E64" s="186"/>
      <c r="F64" s="300">
        <v>82000</v>
      </c>
      <c r="G64" s="221">
        <f t="shared" ref="G64" si="130">H64+J64</f>
        <v>0</v>
      </c>
      <c r="H64" s="186"/>
      <c r="I64" s="186"/>
      <c r="J64" s="222"/>
      <c r="K64" s="185">
        <f t="shared" ref="K64:K65" si="131">L64+N64</f>
        <v>21400</v>
      </c>
      <c r="L64" s="186">
        <v>21400</v>
      </c>
      <c r="M64" s="186"/>
      <c r="N64" s="300"/>
      <c r="O64" s="221">
        <f t="shared" ref="O64" si="132">P64+R64</f>
        <v>0</v>
      </c>
      <c r="P64" s="186"/>
      <c r="Q64" s="186"/>
      <c r="R64" s="222"/>
      <c r="S64" s="185">
        <f t="shared" ref="S64:S65" si="133">T64+V64</f>
        <v>103400</v>
      </c>
      <c r="T64" s="186">
        <f t="shared" si="52"/>
        <v>21400</v>
      </c>
      <c r="U64" s="186">
        <f t="shared" si="53"/>
        <v>0</v>
      </c>
      <c r="V64" s="300">
        <f t="shared" si="54"/>
        <v>82000</v>
      </c>
      <c r="W64" s="150"/>
    </row>
    <row r="65" spans="1:23" ht="15.75" customHeight="1" x14ac:dyDescent="0.2">
      <c r="A65" s="323"/>
      <c r="B65" s="342" t="s">
        <v>484</v>
      </c>
      <c r="C65" s="185"/>
      <c r="D65" s="186"/>
      <c r="E65" s="186"/>
      <c r="F65" s="300"/>
      <c r="G65" s="221"/>
      <c r="H65" s="186"/>
      <c r="I65" s="186"/>
      <c r="J65" s="222"/>
      <c r="K65" s="185">
        <f t="shared" si="131"/>
        <v>9309.2199999999993</v>
      </c>
      <c r="L65" s="186">
        <v>9309.2199999999993</v>
      </c>
      <c r="M65" s="186"/>
      <c r="N65" s="300"/>
      <c r="O65" s="221"/>
      <c r="P65" s="186"/>
      <c r="Q65" s="186"/>
      <c r="R65" s="222"/>
      <c r="S65" s="185">
        <f t="shared" si="133"/>
        <v>9309.2199999999993</v>
      </c>
      <c r="T65" s="186">
        <f t="shared" ref="T65" si="134">D65+H65+L65+P65</f>
        <v>9309.2199999999993</v>
      </c>
      <c r="U65" s="186">
        <f t="shared" ref="U65" si="135">E65+I65+M65+Q65</f>
        <v>0</v>
      </c>
      <c r="V65" s="300">
        <f t="shared" ref="V65" si="136">F65+J65+N65+R65</f>
        <v>0</v>
      </c>
      <c r="W65" s="233"/>
    </row>
    <row r="66" spans="1:23" ht="24.75" customHeight="1" x14ac:dyDescent="0.2">
      <c r="A66" s="323" t="s">
        <v>66</v>
      </c>
      <c r="B66" s="348" t="s">
        <v>562</v>
      </c>
      <c r="C66" s="185">
        <f t="shared" si="129"/>
        <v>959.23</v>
      </c>
      <c r="D66" s="186">
        <v>959.23</v>
      </c>
      <c r="E66" s="186"/>
      <c r="F66" s="300"/>
      <c r="G66" s="221"/>
      <c r="H66" s="186"/>
      <c r="I66" s="186"/>
      <c r="J66" s="222"/>
      <c r="K66" s="185"/>
      <c r="L66" s="186"/>
      <c r="M66" s="186"/>
      <c r="N66" s="300"/>
      <c r="O66" s="221"/>
      <c r="P66" s="186"/>
      <c r="Q66" s="186"/>
      <c r="R66" s="222"/>
      <c r="S66" s="185">
        <f t="shared" ref="S66" si="137">T66+V66</f>
        <v>959.23</v>
      </c>
      <c r="T66" s="186">
        <f t="shared" si="52"/>
        <v>959.23</v>
      </c>
      <c r="U66" s="186">
        <f t="shared" si="53"/>
        <v>0</v>
      </c>
      <c r="V66" s="230">
        <f t="shared" si="54"/>
        <v>0</v>
      </c>
    </row>
    <row r="67" spans="1:23" ht="15.75" customHeight="1" x14ac:dyDescent="0.2">
      <c r="A67" s="323" t="s">
        <v>66</v>
      </c>
      <c r="B67" s="342" t="s">
        <v>155</v>
      </c>
      <c r="C67" s="185">
        <f t="shared" si="36"/>
        <v>631100</v>
      </c>
      <c r="D67" s="186">
        <v>631100</v>
      </c>
      <c r="E67" s="186">
        <v>605500</v>
      </c>
      <c r="F67" s="300"/>
      <c r="G67" s="221">
        <f t="shared" si="37"/>
        <v>0</v>
      </c>
      <c r="H67" s="186"/>
      <c r="I67" s="186"/>
      <c r="J67" s="222"/>
      <c r="K67" s="185">
        <f t="shared" si="38"/>
        <v>0</v>
      </c>
      <c r="L67" s="186"/>
      <c r="M67" s="186"/>
      <c r="N67" s="300"/>
      <c r="O67" s="221">
        <f t="shared" si="39"/>
        <v>0</v>
      </c>
      <c r="P67" s="186"/>
      <c r="Q67" s="186"/>
      <c r="R67" s="222"/>
      <c r="S67" s="185">
        <f t="shared" si="40"/>
        <v>631100</v>
      </c>
      <c r="T67" s="186">
        <f t="shared" si="52"/>
        <v>631100</v>
      </c>
      <c r="U67" s="186">
        <f t="shared" si="53"/>
        <v>605500</v>
      </c>
      <c r="V67" s="300">
        <f t="shared" si="54"/>
        <v>0</v>
      </c>
      <c r="W67" s="233"/>
    </row>
    <row r="68" spans="1:23" ht="14.25" customHeight="1" x14ac:dyDescent="0.2">
      <c r="A68" s="323" t="s">
        <v>66</v>
      </c>
      <c r="B68" s="342" t="s">
        <v>156</v>
      </c>
      <c r="C68" s="185">
        <f t="shared" si="36"/>
        <v>5000</v>
      </c>
      <c r="D68" s="186">
        <v>5000</v>
      </c>
      <c r="E68" s="186"/>
      <c r="F68" s="300"/>
      <c r="G68" s="221">
        <f t="shared" si="37"/>
        <v>0</v>
      </c>
      <c r="H68" s="186"/>
      <c r="I68" s="186"/>
      <c r="J68" s="222"/>
      <c r="K68" s="185">
        <f t="shared" si="38"/>
        <v>0</v>
      </c>
      <c r="L68" s="186"/>
      <c r="M68" s="186"/>
      <c r="N68" s="300"/>
      <c r="O68" s="221">
        <f t="shared" si="39"/>
        <v>0</v>
      </c>
      <c r="P68" s="186"/>
      <c r="Q68" s="186"/>
      <c r="R68" s="222"/>
      <c r="S68" s="185">
        <f t="shared" si="40"/>
        <v>5000</v>
      </c>
      <c r="T68" s="186">
        <f t="shared" si="52"/>
        <v>5000</v>
      </c>
      <c r="U68" s="186">
        <f t="shared" si="53"/>
        <v>0</v>
      </c>
      <c r="V68" s="300">
        <f t="shared" si="54"/>
        <v>0</v>
      </c>
      <c r="W68" s="150"/>
    </row>
    <row r="69" spans="1:23" ht="14.25" customHeight="1" x14ac:dyDescent="0.2">
      <c r="A69" s="323" t="s">
        <v>66</v>
      </c>
      <c r="B69" s="342" t="s">
        <v>157</v>
      </c>
      <c r="C69" s="185">
        <f t="shared" si="36"/>
        <v>1500</v>
      </c>
      <c r="D69" s="186">
        <v>1500</v>
      </c>
      <c r="E69" s="186"/>
      <c r="F69" s="300"/>
      <c r="G69" s="221">
        <f t="shared" si="37"/>
        <v>0</v>
      </c>
      <c r="H69" s="186"/>
      <c r="I69" s="186"/>
      <c r="J69" s="222"/>
      <c r="K69" s="185">
        <f t="shared" si="38"/>
        <v>0</v>
      </c>
      <c r="L69" s="186"/>
      <c r="M69" s="186"/>
      <c r="N69" s="300"/>
      <c r="O69" s="221">
        <f t="shared" si="39"/>
        <v>0</v>
      </c>
      <c r="P69" s="186"/>
      <c r="Q69" s="186"/>
      <c r="R69" s="222"/>
      <c r="S69" s="185">
        <f t="shared" ref="S69:S74" si="138">T69+V69</f>
        <v>1500</v>
      </c>
      <c r="T69" s="186">
        <f t="shared" si="52"/>
        <v>1500</v>
      </c>
      <c r="U69" s="186">
        <f t="shared" si="53"/>
        <v>0</v>
      </c>
      <c r="V69" s="300">
        <f t="shared" si="54"/>
        <v>0</v>
      </c>
      <c r="W69" s="150"/>
    </row>
    <row r="70" spans="1:23" ht="24" customHeight="1" x14ac:dyDescent="0.2">
      <c r="A70" s="323" t="s">
        <v>66</v>
      </c>
      <c r="B70" s="349" t="s">
        <v>510</v>
      </c>
      <c r="C70" s="185">
        <f t="shared" si="36"/>
        <v>0</v>
      </c>
      <c r="D70" s="186"/>
      <c r="E70" s="186"/>
      <c r="F70" s="300"/>
      <c r="G70" s="221">
        <f t="shared" si="37"/>
        <v>172400.04</v>
      </c>
      <c r="H70" s="186">
        <v>3385.69</v>
      </c>
      <c r="I70" s="186">
        <v>3337.3</v>
      </c>
      <c r="J70" s="222">
        <f>248363.35-79349</f>
        <v>169014.35</v>
      </c>
      <c r="K70" s="185"/>
      <c r="L70" s="186"/>
      <c r="M70" s="186"/>
      <c r="N70" s="300"/>
      <c r="O70" s="221">
        <f t="shared" ref="O70" si="139">P70+R70</f>
        <v>0</v>
      </c>
      <c r="P70" s="186"/>
      <c r="Q70" s="186"/>
      <c r="R70" s="222"/>
      <c r="S70" s="185">
        <f t="shared" si="138"/>
        <v>172400.04</v>
      </c>
      <c r="T70" s="186">
        <f t="shared" si="52"/>
        <v>3385.69</v>
      </c>
      <c r="U70" s="186">
        <f t="shared" si="53"/>
        <v>3337.3</v>
      </c>
      <c r="V70" s="300">
        <f t="shared" si="54"/>
        <v>169014.35</v>
      </c>
      <c r="W70" s="150"/>
    </row>
    <row r="71" spans="1:23" ht="24" customHeight="1" x14ac:dyDescent="0.2">
      <c r="A71" s="323" t="s">
        <v>66</v>
      </c>
      <c r="B71" s="349" t="s">
        <v>511</v>
      </c>
      <c r="C71" s="185">
        <f t="shared" si="36"/>
        <v>0</v>
      </c>
      <c r="D71" s="186"/>
      <c r="E71" s="186"/>
      <c r="F71" s="300"/>
      <c r="G71" s="221">
        <f t="shared" si="37"/>
        <v>79349</v>
      </c>
      <c r="H71" s="186"/>
      <c r="I71" s="186"/>
      <c r="J71" s="222">
        <v>79349</v>
      </c>
      <c r="K71" s="185"/>
      <c r="L71" s="186"/>
      <c r="M71" s="186"/>
      <c r="N71" s="300"/>
      <c r="O71" s="221">
        <f t="shared" si="39"/>
        <v>925</v>
      </c>
      <c r="P71" s="186"/>
      <c r="Q71" s="186"/>
      <c r="R71" s="222">
        <v>925</v>
      </c>
      <c r="S71" s="185">
        <f t="shared" si="138"/>
        <v>80274</v>
      </c>
      <c r="T71" s="186">
        <f t="shared" si="52"/>
        <v>0</v>
      </c>
      <c r="U71" s="186">
        <f t="shared" si="53"/>
        <v>0</v>
      </c>
      <c r="V71" s="230">
        <f t="shared" si="54"/>
        <v>80274</v>
      </c>
    </row>
    <row r="72" spans="1:23" ht="24" customHeight="1" x14ac:dyDescent="0.2">
      <c r="A72" s="323" t="s">
        <v>66</v>
      </c>
      <c r="B72" s="347" t="s">
        <v>512</v>
      </c>
      <c r="C72" s="185">
        <f t="shared" si="36"/>
        <v>200</v>
      </c>
      <c r="D72" s="186">
        <v>200</v>
      </c>
      <c r="E72" s="186">
        <v>110</v>
      </c>
      <c r="F72" s="300"/>
      <c r="G72" s="221">
        <f t="shared" ref="G72:G75" si="140">H72+J72</f>
        <v>61864</v>
      </c>
      <c r="H72" s="186">
        <v>4</v>
      </c>
      <c r="I72" s="186">
        <v>3</v>
      </c>
      <c r="J72" s="222">
        <f>70391.95-8531.95</f>
        <v>61860</v>
      </c>
      <c r="K72" s="185"/>
      <c r="L72" s="186"/>
      <c r="M72" s="186"/>
      <c r="N72" s="300"/>
      <c r="O72" s="221">
        <f t="shared" ref="O72" si="141">P72+R72</f>
        <v>0</v>
      </c>
      <c r="P72" s="186"/>
      <c r="Q72" s="186"/>
      <c r="R72" s="222"/>
      <c r="S72" s="185">
        <f t="shared" si="138"/>
        <v>62064</v>
      </c>
      <c r="T72" s="186">
        <f t="shared" si="52"/>
        <v>204</v>
      </c>
      <c r="U72" s="186">
        <f t="shared" si="53"/>
        <v>113</v>
      </c>
      <c r="V72" s="300">
        <f t="shared" si="54"/>
        <v>61860</v>
      </c>
      <c r="W72" s="150"/>
    </row>
    <row r="73" spans="1:23" ht="24" customHeight="1" x14ac:dyDescent="0.2">
      <c r="A73" s="323" t="s">
        <v>66</v>
      </c>
      <c r="B73" s="347" t="s">
        <v>513</v>
      </c>
      <c r="C73" s="185">
        <f t="shared" si="36"/>
        <v>0</v>
      </c>
      <c r="D73" s="186"/>
      <c r="E73" s="186"/>
      <c r="F73" s="300"/>
      <c r="G73" s="221">
        <f t="shared" si="140"/>
        <v>5467.0000000000009</v>
      </c>
      <c r="H73" s="186">
        <v>67</v>
      </c>
      <c r="I73" s="186">
        <v>7</v>
      </c>
      <c r="J73" s="222">
        <f>10465.19-5065.19</f>
        <v>5400.0000000000009</v>
      </c>
      <c r="K73" s="185"/>
      <c r="L73" s="186"/>
      <c r="M73" s="186"/>
      <c r="N73" s="300"/>
      <c r="O73" s="221"/>
      <c r="P73" s="186"/>
      <c r="Q73" s="186"/>
      <c r="R73" s="222"/>
      <c r="S73" s="185">
        <f t="shared" si="138"/>
        <v>5467.0000000000009</v>
      </c>
      <c r="T73" s="186">
        <f t="shared" si="52"/>
        <v>67</v>
      </c>
      <c r="U73" s="186">
        <f t="shared" si="53"/>
        <v>7</v>
      </c>
      <c r="V73" s="230">
        <f t="shared" si="54"/>
        <v>5400.0000000000009</v>
      </c>
    </row>
    <row r="74" spans="1:23" ht="38.25" customHeight="1" x14ac:dyDescent="0.2">
      <c r="A74" s="323" t="s">
        <v>66</v>
      </c>
      <c r="B74" s="347" t="s">
        <v>514</v>
      </c>
      <c r="C74" s="185">
        <f t="shared" si="36"/>
        <v>0</v>
      </c>
      <c r="D74" s="186"/>
      <c r="E74" s="186"/>
      <c r="F74" s="300"/>
      <c r="G74" s="221">
        <f t="shared" si="140"/>
        <v>8531.9500000000007</v>
      </c>
      <c r="H74" s="186"/>
      <c r="I74" s="186"/>
      <c r="J74" s="222">
        <v>8531.9500000000007</v>
      </c>
      <c r="K74" s="185"/>
      <c r="L74" s="186"/>
      <c r="M74" s="186"/>
      <c r="N74" s="300"/>
      <c r="O74" s="221"/>
      <c r="P74" s="186"/>
      <c r="Q74" s="186"/>
      <c r="R74" s="222"/>
      <c r="S74" s="185">
        <f t="shared" si="138"/>
        <v>8531.9500000000007</v>
      </c>
      <c r="T74" s="186">
        <f t="shared" si="52"/>
        <v>0</v>
      </c>
      <c r="U74" s="186">
        <f t="shared" si="53"/>
        <v>0</v>
      </c>
      <c r="V74" s="300">
        <f t="shared" si="54"/>
        <v>8531.9500000000007</v>
      </c>
      <c r="W74" s="150"/>
    </row>
    <row r="75" spans="1:23" ht="36.75" customHeight="1" x14ac:dyDescent="0.2">
      <c r="A75" s="323" t="s">
        <v>66</v>
      </c>
      <c r="B75" s="347" t="s">
        <v>515</v>
      </c>
      <c r="C75" s="185">
        <f t="shared" si="36"/>
        <v>0</v>
      </c>
      <c r="D75" s="186"/>
      <c r="E75" s="186"/>
      <c r="F75" s="300"/>
      <c r="G75" s="221">
        <f t="shared" si="140"/>
        <v>5065.1899999999996</v>
      </c>
      <c r="H75" s="186"/>
      <c r="I75" s="186"/>
      <c r="J75" s="222">
        <v>5065.1899999999996</v>
      </c>
      <c r="K75" s="185"/>
      <c r="L75" s="186"/>
      <c r="M75" s="186"/>
      <c r="N75" s="300"/>
      <c r="O75" s="221"/>
      <c r="P75" s="186"/>
      <c r="Q75" s="186"/>
      <c r="R75" s="222"/>
      <c r="S75" s="185">
        <f t="shared" ref="S75" si="142">T75+V75</f>
        <v>5065.1899999999996</v>
      </c>
      <c r="T75" s="186">
        <f t="shared" si="52"/>
        <v>0</v>
      </c>
      <c r="U75" s="186">
        <f t="shared" si="53"/>
        <v>0</v>
      </c>
      <c r="V75" s="230">
        <f t="shared" si="54"/>
        <v>5065.1899999999996</v>
      </c>
    </row>
    <row r="76" spans="1:23" ht="27" customHeight="1" x14ac:dyDescent="0.2">
      <c r="A76" s="323" t="s">
        <v>66</v>
      </c>
      <c r="B76" s="347" t="s">
        <v>473</v>
      </c>
      <c r="C76" s="185">
        <f t="shared" si="36"/>
        <v>0</v>
      </c>
      <c r="D76" s="186"/>
      <c r="E76" s="186"/>
      <c r="F76" s="300"/>
      <c r="G76" s="221">
        <f t="shared" si="37"/>
        <v>0</v>
      </c>
      <c r="H76" s="186"/>
      <c r="I76" s="186"/>
      <c r="J76" s="222"/>
      <c r="K76" s="185">
        <f t="shared" si="38"/>
        <v>0</v>
      </c>
      <c r="L76" s="186"/>
      <c r="M76" s="186"/>
      <c r="N76" s="300"/>
      <c r="O76" s="221">
        <f t="shared" si="39"/>
        <v>330000</v>
      </c>
      <c r="P76" s="186"/>
      <c r="Q76" s="186"/>
      <c r="R76" s="222">
        <v>330000</v>
      </c>
      <c r="S76" s="185">
        <f t="shared" si="40"/>
        <v>330000</v>
      </c>
      <c r="T76" s="186">
        <f t="shared" si="52"/>
        <v>0</v>
      </c>
      <c r="U76" s="186">
        <f t="shared" si="53"/>
        <v>0</v>
      </c>
      <c r="V76" s="300">
        <f t="shared" si="54"/>
        <v>330000</v>
      </c>
      <c r="W76" s="150"/>
    </row>
    <row r="77" spans="1:23" ht="38.25" customHeight="1" x14ac:dyDescent="0.2">
      <c r="A77" s="323" t="s">
        <v>66</v>
      </c>
      <c r="B77" s="349" t="s">
        <v>497</v>
      </c>
      <c r="C77" s="185">
        <f t="shared" si="36"/>
        <v>0</v>
      </c>
      <c r="D77" s="186"/>
      <c r="E77" s="186"/>
      <c r="F77" s="300"/>
      <c r="G77" s="221">
        <f t="shared" si="37"/>
        <v>0</v>
      </c>
      <c r="H77" s="186"/>
      <c r="I77" s="186"/>
      <c r="J77" s="222"/>
      <c r="K77" s="185">
        <f t="shared" si="38"/>
        <v>0</v>
      </c>
      <c r="L77" s="186"/>
      <c r="M77" s="186"/>
      <c r="N77" s="300"/>
      <c r="O77" s="221">
        <f t="shared" si="39"/>
        <v>84682</v>
      </c>
      <c r="P77" s="186"/>
      <c r="Q77" s="186"/>
      <c r="R77" s="222">
        <v>84682</v>
      </c>
      <c r="S77" s="185">
        <f t="shared" si="40"/>
        <v>84682</v>
      </c>
      <c r="T77" s="186">
        <f t="shared" si="52"/>
        <v>0</v>
      </c>
      <c r="U77" s="186">
        <f t="shared" si="53"/>
        <v>0</v>
      </c>
      <c r="V77" s="300">
        <f t="shared" si="54"/>
        <v>84682</v>
      </c>
      <c r="W77" s="150"/>
    </row>
    <row r="78" spans="1:23" ht="38.25" customHeight="1" x14ac:dyDescent="0.2">
      <c r="A78" s="323" t="s">
        <v>66</v>
      </c>
      <c r="B78" s="349" t="s">
        <v>498</v>
      </c>
      <c r="C78" s="185">
        <f t="shared" ref="C78" si="143">D78+F78</f>
        <v>0</v>
      </c>
      <c r="D78" s="186"/>
      <c r="E78" s="186"/>
      <c r="F78" s="300"/>
      <c r="G78" s="221">
        <f t="shared" ref="G78" si="144">H78+J78</f>
        <v>0</v>
      </c>
      <c r="H78" s="186"/>
      <c r="I78" s="186"/>
      <c r="J78" s="222"/>
      <c r="K78" s="185">
        <f t="shared" ref="K78" si="145">L78+N78</f>
        <v>0</v>
      </c>
      <c r="L78" s="186"/>
      <c r="M78" s="186"/>
      <c r="N78" s="300"/>
      <c r="O78" s="221">
        <f t="shared" ref="O78" si="146">P78+R78</f>
        <v>141358.12</v>
      </c>
      <c r="P78" s="186"/>
      <c r="Q78" s="186"/>
      <c r="R78" s="222">
        <v>141358.12</v>
      </c>
      <c r="S78" s="185">
        <f t="shared" ref="S78" si="147">T78+V78</f>
        <v>141358.12</v>
      </c>
      <c r="T78" s="186">
        <f t="shared" si="52"/>
        <v>0</v>
      </c>
      <c r="U78" s="186">
        <f t="shared" si="53"/>
        <v>0</v>
      </c>
      <c r="V78" s="300">
        <f t="shared" si="54"/>
        <v>141358.12</v>
      </c>
      <c r="W78" s="150"/>
    </row>
    <row r="79" spans="1:23" ht="15.75" customHeight="1" x14ac:dyDescent="0.2">
      <c r="A79" s="323" t="s">
        <v>66</v>
      </c>
      <c r="B79" s="345" t="s">
        <v>472</v>
      </c>
      <c r="C79" s="185">
        <f t="shared" si="36"/>
        <v>139000</v>
      </c>
      <c r="D79" s="186">
        <f>60000+12000+37000</f>
        <v>109000</v>
      </c>
      <c r="E79" s="186"/>
      <c r="F79" s="300">
        <f>30000</f>
        <v>30000</v>
      </c>
      <c r="G79" s="221">
        <f t="shared" si="37"/>
        <v>0</v>
      </c>
      <c r="H79" s="186"/>
      <c r="I79" s="186"/>
      <c r="J79" s="222"/>
      <c r="K79" s="185">
        <f t="shared" si="38"/>
        <v>0</v>
      </c>
      <c r="L79" s="186"/>
      <c r="M79" s="186"/>
      <c r="N79" s="300"/>
      <c r="O79" s="221">
        <f t="shared" si="39"/>
        <v>0</v>
      </c>
      <c r="P79" s="186"/>
      <c r="Q79" s="186"/>
      <c r="R79" s="222"/>
      <c r="S79" s="185">
        <f t="shared" si="40"/>
        <v>139000</v>
      </c>
      <c r="T79" s="186">
        <f t="shared" si="52"/>
        <v>109000</v>
      </c>
      <c r="U79" s="186">
        <f t="shared" si="53"/>
        <v>0</v>
      </c>
      <c r="V79" s="230">
        <f t="shared" si="54"/>
        <v>30000</v>
      </c>
    </row>
    <row r="80" spans="1:23" ht="48.75" customHeight="1" x14ac:dyDescent="0.2">
      <c r="A80" s="323" t="s">
        <v>66</v>
      </c>
      <c r="B80" s="350" t="s">
        <v>516</v>
      </c>
      <c r="C80" s="185">
        <f t="shared" si="36"/>
        <v>15000</v>
      </c>
      <c r="D80" s="186"/>
      <c r="E80" s="186"/>
      <c r="F80" s="300">
        <v>15000</v>
      </c>
      <c r="G80" s="221"/>
      <c r="H80" s="186"/>
      <c r="I80" s="186"/>
      <c r="J80" s="222"/>
      <c r="K80" s="185"/>
      <c r="L80" s="186"/>
      <c r="M80" s="186"/>
      <c r="N80" s="300"/>
      <c r="O80" s="221">
        <f t="shared" si="39"/>
        <v>0</v>
      </c>
      <c r="P80" s="186"/>
      <c r="Q80" s="186"/>
      <c r="R80" s="222"/>
      <c r="S80" s="185">
        <f t="shared" ref="S80" si="148">T80+V80</f>
        <v>15000</v>
      </c>
      <c r="T80" s="186">
        <f t="shared" si="52"/>
        <v>0</v>
      </c>
      <c r="U80" s="186">
        <f t="shared" si="53"/>
        <v>0</v>
      </c>
      <c r="V80" s="230">
        <f t="shared" si="54"/>
        <v>15000</v>
      </c>
    </row>
    <row r="81" spans="1:23" ht="28.5" customHeight="1" x14ac:dyDescent="0.2">
      <c r="A81" s="323" t="s">
        <v>66</v>
      </c>
      <c r="B81" s="326" t="s">
        <v>518</v>
      </c>
      <c r="C81" s="185">
        <f t="shared" ref="C81" si="149">D81+F81</f>
        <v>0</v>
      </c>
      <c r="D81" s="187"/>
      <c r="E81" s="187"/>
      <c r="F81" s="230"/>
      <c r="G81" s="221">
        <f t="shared" ref="G81" si="150">H81+J81</f>
        <v>120427.84</v>
      </c>
      <c r="H81" s="186"/>
      <c r="I81" s="186"/>
      <c r="J81" s="222">
        <v>120427.84</v>
      </c>
      <c r="K81" s="185">
        <f t="shared" ref="K81" si="151">L81+N81</f>
        <v>0</v>
      </c>
      <c r="L81" s="187"/>
      <c r="M81" s="187"/>
      <c r="N81" s="230"/>
      <c r="O81" s="221">
        <f t="shared" ref="O81" si="152">P81+R81</f>
        <v>10000</v>
      </c>
      <c r="P81" s="187"/>
      <c r="Q81" s="187"/>
      <c r="R81" s="327">
        <v>10000</v>
      </c>
      <c r="S81" s="185">
        <f t="shared" ref="S81" si="153">T81+V81</f>
        <v>130427.84</v>
      </c>
      <c r="T81" s="186">
        <f t="shared" ref="T81" si="154">D81+H81+L81+P81</f>
        <v>0</v>
      </c>
      <c r="U81" s="186">
        <f t="shared" ref="U81" si="155">E81+I81+M81+Q81</f>
        <v>0</v>
      </c>
      <c r="V81" s="230">
        <f t="shared" ref="V81" si="156">F81+J81+N81+R81</f>
        <v>130427.84</v>
      </c>
    </row>
    <row r="82" spans="1:23" ht="38.25" customHeight="1" x14ac:dyDescent="0.2">
      <c r="A82" s="323" t="s">
        <v>66</v>
      </c>
      <c r="B82" s="326" t="s">
        <v>499</v>
      </c>
      <c r="C82" s="185">
        <f t="shared" si="36"/>
        <v>0</v>
      </c>
      <c r="D82" s="187"/>
      <c r="E82" s="187"/>
      <c r="F82" s="230"/>
      <c r="G82" s="221">
        <f t="shared" si="37"/>
        <v>0</v>
      </c>
      <c r="H82" s="186"/>
      <c r="I82" s="186"/>
      <c r="J82" s="222"/>
      <c r="K82" s="185">
        <f t="shared" si="38"/>
        <v>0</v>
      </c>
      <c r="L82" s="187"/>
      <c r="M82" s="187"/>
      <c r="N82" s="230"/>
      <c r="O82" s="221">
        <f t="shared" si="39"/>
        <v>20000</v>
      </c>
      <c r="P82" s="187"/>
      <c r="Q82" s="187"/>
      <c r="R82" s="327">
        <v>20000</v>
      </c>
      <c r="S82" s="185">
        <f t="shared" si="40"/>
        <v>20000</v>
      </c>
      <c r="T82" s="186">
        <f t="shared" si="52"/>
        <v>0</v>
      </c>
      <c r="U82" s="186">
        <f t="shared" si="53"/>
        <v>0</v>
      </c>
      <c r="V82" s="230">
        <f t="shared" si="54"/>
        <v>20000</v>
      </c>
    </row>
    <row r="83" spans="1:23" ht="27" customHeight="1" x14ac:dyDescent="0.2">
      <c r="A83" s="323" t="s">
        <v>68</v>
      </c>
      <c r="B83" s="351" t="s">
        <v>517</v>
      </c>
      <c r="C83" s="185">
        <f t="shared" ref="C83" si="157">D83+F83</f>
        <v>0</v>
      </c>
      <c r="D83" s="187"/>
      <c r="E83" s="187"/>
      <c r="F83" s="230"/>
      <c r="G83" s="221">
        <f t="shared" ref="G83" si="158">H83+J83</f>
        <v>83645.64</v>
      </c>
      <c r="H83" s="186"/>
      <c r="I83" s="186"/>
      <c r="J83" s="222">
        <v>83645.64</v>
      </c>
      <c r="K83" s="185">
        <f t="shared" ref="K83" si="159">L83+N83</f>
        <v>0</v>
      </c>
      <c r="L83" s="187"/>
      <c r="M83" s="187"/>
      <c r="N83" s="230"/>
      <c r="O83" s="221">
        <f t="shared" ref="O83" si="160">P83+R83</f>
        <v>0</v>
      </c>
      <c r="P83" s="187"/>
      <c r="Q83" s="187"/>
      <c r="R83" s="327"/>
      <c r="S83" s="185">
        <f t="shared" ref="S83" si="161">T83+V83</f>
        <v>83645.64</v>
      </c>
      <c r="T83" s="186">
        <f t="shared" si="52"/>
        <v>0</v>
      </c>
      <c r="U83" s="186">
        <f t="shared" si="53"/>
        <v>0</v>
      </c>
      <c r="V83" s="300">
        <f t="shared" si="54"/>
        <v>83645.64</v>
      </c>
      <c r="W83" s="150"/>
    </row>
    <row r="84" spans="1:23" ht="28.5" customHeight="1" x14ac:dyDescent="0.2">
      <c r="A84" s="323" t="s">
        <v>68</v>
      </c>
      <c r="B84" s="351" t="s">
        <v>500</v>
      </c>
      <c r="C84" s="185">
        <f t="shared" ref="C84" si="162">D84+F84</f>
        <v>0</v>
      </c>
      <c r="D84" s="187"/>
      <c r="E84" s="187"/>
      <c r="F84" s="230"/>
      <c r="G84" s="221">
        <f t="shared" ref="G84" si="163">H84+J84</f>
        <v>0</v>
      </c>
      <c r="H84" s="186"/>
      <c r="I84" s="186"/>
      <c r="J84" s="222"/>
      <c r="K84" s="185">
        <f t="shared" ref="K84" si="164">L84+N84</f>
        <v>0</v>
      </c>
      <c r="L84" s="187"/>
      <c r="M84" s="187"/>
      <c r="N84" s="230"/>
      <c r="O84" s="221">
        <f t="shared" ref="O84" si="165">P84+R84</f>
        <v>30700</v>
      </c>
      <c r="P84" s="187"/>
      <c r="Q84" s="187"/>
      <c r="R84" s="327">
        <v>30700</v>
      </c>
      <c r="S84" s="185">
        <f t="shared" ref="S84" si="166">T84+V84</f>
        <v>30700</v>
      </c>
      <c r="T84" s="186">
        <f t="shared" ref="T84" si="167">D84+H84+L84+P84</f>
        <v>0</v>
      </c>
      <c r="U84" s="186">
        <f t="shared" ref="U84" si="168">E84+I84+M84+Q84</f>
        <v>0</v>
      </c>
      <c r="V84" s="300">
        <f t="shared" ref="V84" si="169">F84+J84+N84+R84</f>
        <v>30700</v>
      </c>
      <c r="W84" s="150"/>
    </row>
    <row r="85" spans="1:23" ht="15.75" customHeight="1" x14ac:dyDescent="0.2">
      <c r="A85" s="336"/>
      <c r="B85" s="352" t="s">
        <v>159</v>
      </c>
      <c r="C85" s="183">
        <f t="shared" si="36"/>
        <v>220300</v>
      </c>
      <c r="D85" s="188">
        <f>SUM(D86:D92)</f>
        <v>141300</v>
      </c>
      <c r="E85" s="188">
        <f>SUM(E86:E92)</f>
        <v>0</v>
      </c>
      <c r="F85" s="252">
        <f>SUM(F86:F92)</f>
        <v>79000</v>
      </c>
      <c r="G85" s="246">
        <f t="shared" si="37"/>
        <v>0</v>
      </c>
      <c r="H85" s="188">
        <f>SUM(H86:H92)</f>
        <v>0</v>
      </c>
      <c r="I85" s="188">
        <f>SUM(I86:I92)</f>
        <v>0</v>
      </c>
      <c r="J85" s="188">
        <f>SUM(J86:J92)</f>
        <v>0</v>
      </c>
      <c r="K85" s="183">
        <f t="shared" si="38"/>
        <v>15750</v>
      </c>
      <c r="L85" s="188">
        <f>SUM(L86:L92)</f>
        <v>15750</v>
      </c>
      <c r="M85" s="188">
        <f>SUM(M86:M92)</f>
        <v>0</v>
      </c>
      <c r="N85" s="252">
        <f>SUM(N86:N92)</f>
        <v>0</v>
      </c>
      <c r="O85" s="246">
        <f t="shared" si="39"/>
        <v>0</v>
      </c>
      <c r="P85" s="188">
        <f>SUM(P86:P92)</f>
        <v>0</v>
      </c>
      <c r="Q85" s="188">
        <f>SUM(Q86:Q92)</f>
        <v>0</v>
      </c>
      <c r="R85" s="188">
        <f>SUM(R86:R92)</f>
        <v>0</v>
      </c>
      <c r="S85" s="183">
        <f t="shared" si="40"/>
        <v>236050</v>
      </c>
      <c r="T85" s="184">
        <f>D85+H85+L85+P85</f>
        <v>157050</v>
      </c>
      <c r="U85" s="184">
        <f t="shared" si="53"/>
        <v>0</v>
      </c>
      <c r="V85" s="369">
        <f t="shared" si="54"/>
        <v>79000</v>
      </c>
      <c r="W85" s="150"/>
    </row>
    <row r="86" spans="1:23" ht="15.75" customHeight="1" x14ac:dyDescent="0.2">
      <c r="A86" s="329" t="s">
        <v>63</v>
      </c>
      <c r="B86" s="337" t="s">
        <v>321</v>
      </c>
      <c r="C86" s="185">
        <f t="shared" si="36"/>
        <v>9600</v>
      </c>
      <c r="D86" s="187">
        <v>9600</v>
      </c>
      <c r="E86" s="187"/>
      <c r="F86" s="230"/>
      <c r="G86" s="221">
        <f t="shared" si="37"/>
        <v>0</v>
      </c>
      <c r="H86" s="187"/>
      <c r="I86" s="187"/>
      <c r="J86" s="327"/>
      <c r="K86" s="185">
        <f t="shared" si="38"/>
        <v>0</v>
      </c>
      <c r="L86" s="187"/>
      <c r="M86" s="187"/>
      <c r="N86" s="230"/>
      <c r="O86" s="221">
        <f t="shared" si="39"/>
        <v>0</v>
      </c>
      <c r="P86" s="192"/>
      <c r="Q86" s="192"/>
      <c r="R86" s="253"/>
      <c r="S86" s="185">
        <f t="shared" si="40"/>
        <v>9600</v>
      </c>
      <c r="T86" s="227">
        <f>D86+H86+L86+P86</f>
        <v>9600</v>
      </c>
      <c r="U86" s="227">
        <f t="shared" ref="U86:V86" si="170">E86+I86+M86+Q86</f>
        <v>0</v>
      </c>
      <c r="V86" s="228">
        <f t="shared" si="170"/>
        <v>0</v>
      </c>
      <c r="W86" s="233"/>
    </row>
    <row r="87" spans="1:23" ht="15.75" customHeight="1" x14ac:dyDescent="0.2">
      <c r="A87" s="336" t="s">
        <v>64</v>
      </c>
      <c r="B87" s="343" t="s">
        <v>319</v>
      </c>
      <c r="C87" s="185">
        <f t="shared" si="36"/>
        <v>200</v>
      </c>
      <c r="D87" s="187">
        <v>200</v>
      </c>
      <c r="E87" s="187"/>
      <c r="F87" s="230"/>
      <c r="G87" s="221">
        <f t="shared" si="37"/>
        <v>0</v>
      </c>
      <c r="H87" s="187"/>
      <c r="I87" s="187"/>
      <c r="J87" s="327"/>
      <c r="K87" s="185">
        <f t="shared" si="38"/>
        <v>0</v>
      </c>
      <c r="L87" s="187"/>
      <c r="M87" s="187"/>
      <c r="N87" s="230"/>
      <c r="O87" s="221">
        <f t="shared" si="39"/>
        <v>0</v>
      </c>
      <c r="P87" s="192"/>
      <c r="Q87" s="192"/>
      <c r="R87" s="253"/>
      <c r="S87" s="185">
        <f t="shared" si="40"/>
        <v>200</v>
      </c>
      <c r="T87" s="227">
        <f t="shared" ref="T87:T92" si="171">D87+H87+L87+P87</f>
        <v>200</v>
      </c>
      <c r="U87" s="227">
        <f t="shared" ref="U87:U94" si="172">E87+I87+M87+Q87</f>
        <v>0</v>
      </c>
      <c r="V87" s="228">
        <f t="shared" ref="V87:V94" si="173">F87+J87+N87+R87</f>
        <v>0</v>
      </c>
      <c r="W87" s="150"/>
    </row>
    <row r="88" spans="1:23" ht="15.75" customHeight="1" x14ac:dyDescent="0.2">
      <c r="A88" s="336" t="s">
        <v>64</v>
      </c>
      <c r="B88" s="343" t="s">
        <v>160</v>
      </c>
      <c r="C88" s="185">
        <f t="shared" si="36"/>
        <v>8400</v>
      </c>
      <c r="D88" s="187">
        <v>8400</v>
      </c>
      <c r="E88" s="187"/>
      <c r="F88" s="230"/>
      <c r="G88" s="221">
        <f t="shared" si="37"/>
        <v>0</v>
      </c>
      <c r="H88" s="187"/>
      <c r="I88" s="187"/>
      <c r="J88" s="327"/>
      <c r="K88" s="185">
        <f t="shared" si="38"/>
        <v>0</v>
      </c>
      <c r="L88" s="187"/>
      <c r="M88" s="187"/>
      <c r="N88" s="230"/>
      <c r="O88" s="221">
        <f t="shared" si="39"/>
        <v>0</v>
      </c>
      <c r="P88" s="192"/>
      <c r="Q88" s="192"/>
      <c r="R88" s="253"/>
      <c r="S88" s="185">
        <f t="shared" si="40"/>
        <v>8400</v>
      </c>
      <c r="T88" s="227">
        <f t="shared" si="171"/>
        <v>8400</v>
      </c>
      <c r="U88" s="227">
        <f t="shared" si="172"/>
        <v>0</v>
      </c>
      <c r="V88" s="228">
        <f t="shared" si="173"/>
        <v>0</v>
      </c>
      <c r="W88" s="150"/>
    </row>
    <row r="89" spans="1:23" ht="15.75" customHeight="1" x14ac:dyDescent="0.2">
      <c r="A89" s="336" t="s">
        <v>65</v>
      </c>
      <c r="B89" s="343" t="s">
        <v>138</v>
      </c>
      <c r="C89" s="185">
        <f t="shared" si="36"/>
        <v>12000</v>
      </c>
      <c r="D89" s="187">
        <v>12000</v>
      </c>
      <c r="E89" s="187"/>
      <c r="F89" s="230"/>
      <c r="G89" s="221">
        <f t="shared" si="37"/>
        <v>0</v>
      </c>
      <c r="H89" s="187"/>
      <c r="I89" s="187"/>
      <c r="J89" s="327"/>
      <c r="K89" s="185">
        <f t="shared" si="38"/>
        <v>0</v>
      </c>
      <c r="L89" s="187"/>
      <c r="M89" s="187"/>
      <c r="N89" s="230"/>
      <c r="O89" s="221">
        <f t="shared" si="39"/>
        <v>0</v>
      </c>
      <c r="P89" s="192"/>
      <c r="Q89" s="192"/>
      <c r="R89" s="253"/>
      <c r="S89" s="185">
        <f t="shared" si="40"/>
        <v>12000</v>
      </c>
      <c r="T89" s="227">
        <f t="shared" si="171"/>
        <v>12000</v>
      </c>
      <c r="U89" s="227">
        <f t="shared" si="172"/>
        <v>0</v>
      </c>
      <c r="V89" s="228">
        <f t="shared" si="173"/>
        <v>0</v>
      </c>
      <c r="W89" s="150"/>
    </row>
    <row r="90" spans="1:23" ht="15.75" customHeight="1" x14ac:dyDescent="0.2">
      <c r="A90" s="336" t="s">
        <v>66</v>
      </c>
      <c r="B90" s="342" t="s">
        <v>155</v>
      </c>
      <c r="C90" s="185">
        <f t="shared" si="36"/>
        <v>78100</v>
      </c>
      <c r="D90" s="187">
        <v>71100</v>
      </c>
      <c r="E90" s="187"/>
      <c r="F90" s="230">
        <v>7000</v>
      </c>
      <c r="G90" s="221">
        <f t="shared" si="37"/>
        <v>0</v>
      </c>
      <c r="H90" s="187"/>
      <c r="I90" s="187"/>
      <c r="J90" s="327"/>
      <c r="K90" s="185">
        <f t="shared" si="38"/>
        <v>2700</v>
      </c>
      <c r="L90" s="187">
        <v>2700</v>
      </c>
      <c r="M90" s="187"/>
      <c r="N90" s="230"/>
      <c r="O90" s="221">
        <f t="shared" si="39"/>
        <v>0</v>
      </c>
      <c r="P90" s="192"/>
      <c r="Q90" s="192"/>
      <c r="R90" s="253"/>
      <c r="S90" s="185">
        <f t="shared" si="40"/>
        <v>80800</v>
      </c>
      <c r="T90" s="227">
        <f t="shared" si="171"/>
        <v>73800</v>
      </c>
      <c r="U90" s="227">
        <f t="shared" si="172"/>
        <v>0</v>
      </c>
      <c r="V90" s="228">
        <f t="shared" si="173"/>
        <v>7000</v>
      </c>
      <c r="W90" s="150"/>
    </row>
    <row r="91" spans="1:23" ht="15.75" customHeight="1" x14ac:dyDescent="0.2">
      <c r="A91" s="336" t="s">
        <v>66</v>
      </c>
      <c r="B91" s="342" t="s">
        <v>484</v>
      </c>
      <c r="C91" s="185"/>
      <c r="D91" s="187"/>
      <c r="E91" s="187"/>
      <c r="F91" s="230"/>
      <c r="G91" s="221"/>
      <c r="H91" s="187"/>
      <c r="I91" s="187"/>
      <c r="J91" s="327"/>
      <c r="K91" s="185">
        <f t="shared" si="38"/>
        <v>13050</v>
      </c>
      <c r="L91" s="187">
        <v>13050</v>
      </c>
      <c r="M91" s="187"/>
      <c r="N91" s="230"/>
      <c r="O91" s="221"/>
      <c r="P91" s="192"/>
      <c r="Q91" s="192"/>
      <c r="R91" s="253"/>
      <c r="S91" s="185">
        <f t="shared" ref="S91" si="174">T91+V91</f>
        <v>13050</v>
      </c>
      <c r="T91" s="227">
        <f t="shared" si="171"/>
        <v>13050</v>
      </c>
      <c r="U91" s="227">
        <f t="shared" si="172"/>
        <v>0</v>
      </c>
      <c r="V91" s="228">
        <f t="shared" si="173"/>
        <v>0</v>
      </c>
      <c r="W91" s="150"/>
    </row>
    <row r="92" spans="1:23" ht="15.75" customHeight="1" x14ac:dyDescent="0.2">
      <c r="A92" s="336" t="s">
        <v>66</v>
      </c>
      <c r="B92" s="343" t="s">
        <v>139</v>
      </c>
      <c r="C92" s="185">
        <f t="shared" si="36"/>
        <v>112000</v>
      </c>
      <c r="D92" s="187">
        <v>40000</v>
      </c>
      <c r="E92" s="187"/>
      <c r="F92" s="230">
        <f>27000+45000</f>
        <v>72000</v>
      </c>
      <c r="G92" s="221">
        <f t="shared" si="37"/>
        <v>0</v>
      </c>
      <c r="H92" s="187"/>
      <c r="I92" s="187"/>
      <c r="J92" s="327"/>
      <c r="K92" s="185">
        <f t="shared" si="38"/>
        <v>0</v>
      </c>
      <c r="L92" s="187"/>
      <c r="M92" s="187"/>
      <c r="N92" s="230"/>
      <c r="O92" s="221">
        <f t="shared" si="39"/>
        <v>0</v>
      </c>
      <c r="P92" s="192"/>
      <c r="Q92" s="192"/>
      <c r="R92" s="253"/>
      <c r="S92" s="185">
        <f t="shared" si="40"/>
        <v>112000</v>
      </c>
      <c r="T92" s="227">
        <f t="shared" si="171"/>
        <v>40000</v>
      </c>
      <c r="U92" s="227">
        <f t="shared" si="172"/>
        <v>0</v>
      </c>
      <c r="V92" s="228">
        <f t="shared" si="173"/>
        <v>72000</v>
      </c>
      <c r="W92" s="150"/>
    </row>
    <row r="93" spans="1:23" ht="15.75" customHeight="1" x14ac:dyDescent="0.2">
      <c r="A93" s="336"/>
      <c r="B93" s="352" t="s">
        <v>162</v>
      </c>
      <c r="C93" s="183">
        <f t="shared" si="36"/>
        <v>31800</v>
      </c>
      <c r="D93" s="188">
        <f>SUM(D94:D101)</f>
        <v>31800</v>
      </c>
      <c r="E93" s="188">
        <f>SUM(E94:E101)</f>
        <v>0</v>
      </c>
      <c r="F93" s="252">
        <f>SUM(F94:F101)</f>
        <v>0</v>
      </c>
      <c r="G93" s="246">
        <f t="shared" si="37"/>
        <v>0</v>
      </c>
      <c r="H93" s="188">
        <f>SUM(H94:H101)</f>
        <v>0</v>
      </c>
      <c r="I93" s="188">
        <f>SUM(I94:I101)</f>
        <v>0</v>
      </c>
      <c r="J93" s="188">
        <f>SUM(J94:J101)</f>
        <v>0</v>
      </c>
      <c r="K93" s="183">
        <f t="shared" si="38"/>
        <v>124.82</v>
      </c>
      <c r="L93" s="188">
        <f>SUM(L94:L101)</f>
        <v>124.82</v>
      </c>
      <c r="M93" s="188">
        <f>SUM(M94:M101)</f>
        <v>0</v>
      </c>
      <c r="N93" s="252">
        <f>SUM(N94:N101)</f>
        <v>0</v>
      </c>
      <c r="O93" s="246">
        <f t="shared" si="39"/>
        <v>0</v>
      </c>
      <c r="P93" s="188">
        <f>SUM(P94:P101)</f>
        <v>0</v>
      </c>
      <c r="Q93" s="188">
        <f>SUM(Q94:Q101)</f>
        <v>0</v>
      </c>
      <c r="R93" s="188">
        <f>SUM(R94:R101)</f>
        <v>0</v>
      </c>
      <c r="S93" s="183">
        <f t="shared" si="40"/>
        <v>31924.82</v>
      </c>
      <c r="T93" s="184">
        <f>D93+H93+L93+P93</f>
        <v>31924.82</v>
      </c>
      <c r="U93" s="184">
        <f t="shared" si="172"/>
        <v>0</v>
      </c>
      <c r="V93" s="369">
        <f t="shared" si="173"/>
        <v>0</v>
      </c>
      <c r="W93" s="150"/>
    </row>
    <row r="94" spans="1:23" ht="15.75" customHeight="1" x14ac:dyDescent="0.2">
      <c r="A94" s="336" t="s">
        <v>64</v>
      </c>
      <c r="B94" s="343" t="s">
        <v>319</v>
      </c>
      <c r="C94" s="185">
        <f t="shared" si="36"/>
        <v>200</v>
      </c>
      <c r="D94" s="187">
        <v>200</v>
      </c>
      <c r="E94" s="187"/>
      <c r="F94" s="230"/>
      <c r="G94" s="221">
        <f t="shared" si="37"/>
        <v>0</v>
      </c>
      <c r="H94" s="187"/>
      <c r="I94" s="187"/>
      <c r="J94" s="327"/>
      <c r="K94" s="185">
        <f t="shared" si="38"/>
        <v>0</v>
      </c>
      <c r="L94" s="187"/>
      <c r="M94" s="187"/>
      <c r="N94" s="230"/>
      <c r="O94" s="221">
        <f t="shared" si="39"/>
        <v>0</v>
      </c>
      <c r="P94" s="192"/>
      <c r="Q94" s="192"/>
      <c r="R94" s="253"/>
      <c r="S94" s="185">
        <f t="shared" si="40"/>
        <v>200</v>
      </c>
      <c r="T94" s="227">
        <f>D94+H94+L94+P94</f>
        <v>200</v>
      </c>
      <c r="U94" s="227">
        <f t="shared" si="172"/>
        <v>0</v>
      </c>
      <c r="V94" s="228">
        <f t="shared" si="173"/>
        <v>0</v>
      </c>
      <c r="W94" s="150"/>
    </row>
    <row r="95" spans="1:23" ht="15.75" customHeight="1" x14ac:dyDescent="0.2">
      <c r="A95" s="336" t="s">
        <v>64</v>
      </c>
      <c r="B95" s="343" t="s">
        <v>160</v>
      </c>
      <c r="C95" s="185">
        <f t="shared" si="36"/>
        <v>500</v>
      </c>
      <c r="D95" s="187">
        <v>500</v>
      </c>
      <c r="E95" s="187"/>
      <c r="F95" s="230"/>
      <c r="G95" s="221">
        <f t="shared" si="37"/>
        <v>0</v>
      </c>
      <c r="H95" s="187"/>
      <c r="I95" s="187"/>
      <c r="J95" s="327"/>
      <c r="K95" s="185">
        <f t="shared" si="38"/>
        <v>0</v>
      </c>
      <c r="L95" s="187"/>
      <c r="M95" s="187"/>
      <c r="N95" s="230"/>
      <c r="O95" s="221"/>
      <c r="P95" s="192"/>
      <c r="Q95" s="192"/>
      <c r="R95" s="253"/>
      <c r="S95" s="185">
        <f t="shared" ref="S95" si="175">T95+V95</f>
        <v>500</v>
      </c>
      <c r="T95" s="227">
        <f t="shared" ref="T95:T101" si="176">D95+H95+L95+P95</f>
        <v>500</v>
      </c>
      <c r="U95" s="227">
        <f t="shared" ref="U95:U103" si="177">E95+I95+M95+Q95</f>
        <v>0</v>
      </c>
      <c r="V95" s="228">
        <f t="shared" ref="V95:V103" si="178">F95+J95+N95+R95</f>
        <v>0</v>
      </c>
      <c r="W95" s="150"/>
    </row>
    <row r="96" spans="1:23" ht="15.75" customHeight="1" x14ac:dyDescent="0.2">
      <c r="A96" s="329" t="s">
        <v>65</v>
      </c>
      <c r="B96" s="344" t="s">
        <v>138</v>
      </c>
      <c r="C96" s="185">
        <f t="shared" si="36"/>
        <v>14100</v>
      </c>
      <c r="D96" s="187">
        <v>14100</v>
      </c>
      <c r="E96" s="187"/>
      <c r="F96" s="230"/>
      <c r="G96" s="221">
        <f t="shared" si="37"/>
        <v>0</v>
      </c>
      <c r="H96" s="187"/>
      <c r="I96" s="187"/>
      <c r="J96" s="327"/>
      <c r="K96" s="185">
        <f t="shared" si="38"/>
        <v>0</v>
      </c>
      <c r="L96" s="187"/>
      <c r="M96" s="187"/>
      <c r="N96" s="230"/>
      <c r="O96" s="221">
        <f t="shared" si="39"/>
        <v>0</v>
      </c>
      <c r="P96" s="192"/>
      <c r="Q96" s="192"/>
      <c r="R96" s="253"/>
      <c r="S96" s="185">
        <f t="shared" si="40"/>
        <v>14100</v>
      </c>
      <c r="T96" s="227">
        <f t="shared" si="176"/>
        <v>14100</v>
      </c>
      <c r="U96" s="227">
        <f t="shared" si="177"/>
        <v>0</v>
      </c>
      <c r="V96" s="228">
        <f t="shared" si="178"/>
        <v>0</v>
      </c>
      <c r="W96" s="150"/>
    </row>
    <row r="97" spans="1:23" ht="15.75" customHeight="1" x14ac:dyDescent="0.2">
      <c r="A97" s="336" t="s">
        <v>66</v>
      </c>
      <c r="B97" s="343" t="s">
        <v>161</v>
      </c>
      <c r="C97" s="185">
        <f t="shared" si="36"/>
        <v>5000</v>
      </c>
      <c r="D97" s="187">
        <v>5000</v>
      </c>
      <c r="E97" s="187"/>
      <c r="F97" s="230"/>
      <c r="G97" s="221">
        <f t="shared" si="37"/>
        <v>0</v>
      </c>
      <c r="H97" s="187"/>
      <c r="I97" s="187"/>
      <c r="J97" s="327"/>
      <c r="K97" s="185">
        <f t="shared" si="38"/>
        <v>0</v>
      </c>
      <c r="L97" s="187"/>
      <c r="M97" s="187"/>
      <c r="N97" s="230"/>
      <c r="O97" s="221">
        <f t="shared" si="39"/>
        <v>0</v>
      </c>
      <c r="P97" s="192"/>
      <c r="Q97" s="192"/>
      <c r="R97" s="253"/>
      <c r="S97" s="185">
        <f t="shared" si="40"/>
        <v>5000</v>
      </c>
      <c r="T97" s="227">
        <f t="shared" si="176"/>
        <v>5000</v>
      </c>
      <c r="U97" s="227">
        <f t="shared" si="177"/>
        <v>0</v>
      </c>
      <c r="V97" s="228">
        <f t="shared" si="178"/>
        <v>0</v>
      </c>
      <c r="W97" s="150"/>
    </row>
    <row r="98" spans="1:23" ht="15.75" customHeight="1" x14ac:dyDescent="0.2">
      <c r="A98" s="336" t="s">
        <v>66</v>
      </c>
      <c r="B98" s="342" t="s">
        <v>155</v>
      </c>
      <c r="C98" s="185">
        <f t="shared" si="36"/>
        <v>3000</v>
      </c>
      <c r="D98" s="187">
        <v>3000</v>
      </c>
      <c r="E98" s="187"/>
      <c r="F98" s="230"/>
      <c r="G98" s="221">
        <f t="shared" si="37"/>
        <v>0</v>
      </c>
      <c r="H98" s="187"/>
      <c r="I98" s="187"/>
      <c r="J98" s="327"/>
      <c r="K98" s="185">
        <f t="shared" si="38"/>
        <v>100</v>
      </c>
      <c r="L98" s="187">
        <v>100</v>
      </c>
      <c r="M98" s="187"/>
      <c r="N98" s="230"/>
      <c r="O98" s="221">
        <f t="shared" si="39"/>
        <v>0</v>
      </c>
      <c r="P98" s="192"/>
      <c r="Q98" s="192"/>
      <c r="R98" s="253"/>
      <c r="S98" s="185">
        <f t="shared" si="40"/>
        <v>3100</v>
      </c>
      <c r="T98" s="227">
        <f t="shared" si="176"/>
        <v>3100</v>
      </c>
      <c r="U98" s="227">
        <f t="shared" si="177"/>
        <v>0</v>
      </c>
      <c r="V98" s="228">
        <f t="shared" si="178"/>
        <v>0</v>
      </c>
      <c r="W98" s="150"/>
    </row>
    <row r="99" spans="1:23" ht="15.75" customHeight="1" x14ac:dyDescent="0.2">
      <c r="A99" s="336" t="s">
        <v>66</v>
      </c>
      <c r="B99" s="342" t="s">
        <v>484</v>
      </c>
      <c r="C99" s="185"/>
      <c r="D99" s="187"/>
      <c r="E99" s="187"/>
      <c r="F99" s="230"/>
      <c r="G99" s="221"/>
      <c r="H99" s="187"/>
      <c r="I99" s="187"/>
      <c r="J99" s="327"/>
      <c r="K99" s="185">
        <f t="shared" si="38"/>
        <v>24.82</v>
      </c>
      <c r="L99" s="187">
        <v>24.82</v>
      </c>
      <c r="M99" s="187"/>
      <c r="N99" s="230"/>
      <c r="O99" s="221"/>
      <c r="P99" s="192"/>
      <c r="Q99" s="192"/>
      <c r="R99" s="253"/>
      <c r="S99" s="185">
        <f t="shared" ref="S99" si="179">T99+V99</f>
        <v>24.82</v>
      </c>
      <c r="T99" s="227">
        <f t="shared" si="176"/>
        <v>24.82</v>
      </c>
      <c r="U99" s="227">
        <f t="shared" si="177"/>
        <v>0</v>
      </c>
      <c r="V99" s="228">
        <f t="shared" si="178"/>
        <v>0</v>
      </c>
      <c r="W99" s="150"/>
    </row>
    <row r="100" spans="1:23" ht="26.25" customHeight="1" x14ac:dyDescent="0.2">
      <c r="A100" s="336" t="s">
        <v>66</v>
      </c>
      <c r="B100" s="347" t="s">
        <v>566</v>
      </c>
      <c r="C100" s="185">
        <f t="shared" ref="C100" si="180">D100+F100</f>
        <v>200</v>
      </c>
      <c r="D100" s="187">
        <v>200</v>
      </c>
      <c r="E100" s="187"/>
      <c r="F100" s="230"/>
      <c r="G100" s="221">
        <f t="shared" ref="G100" si="181">H100+J100</f>
        <v>0</v>
      </c>
      <c r="H100" s="187"/>
      <c r="I100" s="187"/>
      <c r="J100" s="327"/>
      <c r="K100" s="185">
        <f t="shared" ref="K100" si="182">L100+N100</f>
        <v>0</v>
      </c>
      <c r="L100" s="187"/>
      <c r="M100" s="187"/>
      <c r="N100" s="230"/>
      <c r="O100" s="221">
        <f t="shared" ref="O100" si="183">P100+R100</f>
        <v>0</v>
      </c>
      <c r="P100" s="192"/>
      <c r="Q100" s="192"/>
      <c r="R100" s="253"/>
      <c r="S100" s="185">
        <f t="shared" ref="S100" si="184">T100+V100</f>
        <v>200</v>
      </c>
      <c r="T100" s="227">
        <f t="shared" si="176"/>
        <v>200</v>
      </c>
      <c r="U100" s="227">
        <f t="shared" si="177"/>
        <v>0</v>
      </c>
      <c r="V100" s="228">
        <f t="shared" si="178"/>
        <v>0</v>
      </c>
      <c r="W100" s="150"/>
    </row>
    <row r="101" spans="1:23" ht="15.75" customHeight="1" x14ac:dyDescent="0.2">
      <c r="A101" s="336" t="s">
        <v>66</v>
      </c>
      <c r="B101" s="343" t="s">
        <v>139</v>
      </c>
      <c r="C101" s="185">
        <f t="shared" si="36"/>
        <v>8800</v>
      </c>
      <c r="D101" s="187">
        <v>8800</v>
      </c>
      <c r="E101" s="187"/>
      <c r="F101" s="230"/>
      <c r="G101" s="221">
        <f t="shared" si="37"/>
        <v>0</v>
      </c>
      <c r="H101" s="187"/>
      <c r="I101" s="187"/>
      <c r="J101" s="327"/>
      <c r="K101" s="185">
        <f t="shared" si="38"/>
        <v>0</v>
      </c>
      <c r="L101" s="187"/>
      <c r="M101" s="187"/>
      <c r="N101" s="230"/>
      <c r="O101" s="221">
        <f t="shared" si="39"/>
        <v>0</v>
      </c>
      <c r="P101" s="192"/>
      <c r="Q101" s="192"/>
      <c r="R101" s="253"/>
      <c r="S101" s="185">
        <f t="shared" si="40"/>
        <v>8800</v>
      </c>
      <c r="T101" s="227">
        <f t="shared" si="176"/>
        <v>8800</v>
      </c>
      <c r="U101" s="227">
        <f t="shared" si="177"/>
        <v>0</v>
      </c>
      <c r="V101" s="228">
        <f t="shared" si="178"/>
        <v>0</v>
      </c>
      <c r="W101" s="150"/>
    </row>
    <row r="102" spans="1:23" ht="15.75" customHeight="1" x14ac:dyDescent="0.2">
      <c r="A102" s="336"/>
      <c r="B102" s="352" t="s">
        <v>163</v>
      </c>
      <c r="C102" s="183">
        <f t="shared" si="36"/>
        <v>64400</v>
      </c>
      <c r="D102" s="188">
        <f>SUM(D103:D110)</f>
        <v>44400</v>
      </c>
      <c r="E102" s="188">
        <f>SUM(E103:E110)</f>
        <v>0</v>
      </c>
      <c r="F102" s="252">
        <f>SUM(F103:F110)</f>
        <v>20000</v>
      </c>
      <c r="G102" s="246">
        <f t="shared" si="37"/>
        <v>0</v>
      </c>
      <c r="H102" s="188">
        <f>SUM(H103:H110)</f>
        <v>0</v>
      </c>
      <c r="I102" s="188">
        <f>SUM(I103:I110)</f>
        <v>0</v>
      </c>
      <c r="J102" s="188">
        <f>SUM(J103:J110)</f>
        <v>0</v>
      </c>
      <c r="K102" s="183">
        <f t="shared" si="38"/>
        <v>7402.07</v>
      </c>
      <c r="L102" s="188">
        <f>SUM(L103:L110)</f>
        <v>7402.07</v>
      </c>
      <c r="M102" s="188">
        <f>SUM(M103:M110)</f>
        <v>0</v>
      </c>
      <c r="N102" s="252">
        <f>SUM(N103:N110)</f>
        <v>0</v>
      </c>
      <c r="O102" s="246">
        <f t="shared" si="39"/>
        <v>0</v>
      </c>
      <c r="P102" s="188">
        <f>SUM(P103:P110)</f>
        <v>0</v>
      </c>
      <c r="Q102" s="188">
        <f>SUM(Q103:Q110)</f>
        <v>0</v>
      </c>
      <c r="R102" s="188">
        <f>SUM(R103:R110)</f>
        <v>0</v>
      </c>
      <c r="S102" s="183">
        <f t="shared" si="40"/>
        <v>71802.070000000007</v>
      </c>
      <c r="T102" s="184">
        <f>D102+H102+L102+P102</f>
        <v>51802.07</v>
      </c>
      <c r="U102" s="184">
        <f t="shared" si="177"/>
        <v>0</v>
      </c>
      <c r="V102" s="252">
        <f t="shared" si="178"/>
        <v>20000</v>
      </c>
    </row>
    <row r="103" spans="1:23" ht="15.75" customHeight="1" x14ac:dyDescent="0.2">
      <c r="A103" s="336" t="s">
        <v>63</v>
      </c>
      <c r="B103" s="341" t="s">
        <v>321</v>
      </c>
      <c r="C103" s="185">
        <f t="shared" si="36"/>
        <v>2600</v>
      </c>
      <c r="D103" s="187">
        <v>2600</v>
      </c>
      <c r="E103" s="187"/>
      <c r="F103" s="230"/>
      <c r="G103" s="221">
        <f t="shared" si="37"/>
        <v>0</v>
      </c>
      <c r="H103" s="187"/>
      <c r="I103" s="187"/>
      <c r="J103" s="327"/>
      <c r="K103" s="185">
        <f t="shared" si="38"/>
        <v>0</v>
      </c>
      <c r="L103" s="187"/>
      <c r="M103" s="187"/>
      <c r="N103" s="230"/>
      <c r="O103" s="221">
        <f t="shared" si="39"/>
        <v>0</v>
      </c>
      <c r="P103" s="192"/>
      <c r="Q103" s="192"/>
      <c r="R103" s="253"/>
      <c r="S103" s="185">
        <f t="shared" si="40"/>
        <v>2600</v>
      </c>
      <c r="T103" s="186">
        <f>D103+H103+L103+P103</f>
        <v>2600</v>
      </c>
      <c r="U103" s="186">
        <f t="shared" si="177"/>
        <v>0</v>
      </c>
      <c r="V103" s="230">
        <f t="shared" si="178"/>
        <v>0</v>
      </c>
    </row>
    <row r="104" spans="1:23" ht="15.75" customHeight="1" x14ac:dyDescent="0.2">
      <c r="A104" s="336" t="s">
        <v>64</v>
      </c>
      <c r="B104" s="343" t="s">
        <v>319</v>
      </c>
      <c r="C104" s="185">
        <f t="shared" si="36"/>
        <v>200</v>
      </c>
      <c r="D104" s="187">
        <v>200</v>
      </c>
      <c r="E104" s="187"/>
      <c r="F104" s="230"/>
      <c r="G104" s="221">
        <f t="shared" si="37"/>
        <v>0</v>
      </c>
      <c r="H104" s="187"/>
      <c r="I104" s="187"/>
      <c r="J104" s="327"/>
      <c r="K104" s="185">
        <f t="shared" si="38"/>
        <v>0</v>
      </c>
      <c r="L104" s="187"/>
      <c r="M104" s="187"/>
      <c r="N104" s="230"/>
      <c r="O104" s="221">
        <f t="shared" si="39"/>
        <v>0</v>
      </c>
      <c r="P104" s="192"/>
      <c r="Q104" s="192"/>
      <c r="R104" s="253"/>
      <c r="S104" s="185">
        <f t="shared" si="40"/>
        <v>200</v>
      </c>
      <c r="T104" s="186">
        <f t="shared" ref="T104:T110" si="185">D104+H104+L104+P104</f>
        <v>200</v>
      </c>
      <c r="U104" s="186">
        <f t="shared" ref="U104:U112" si="186">E104+I104+M104+Q104</f>
        <v>0</v>
      </c>
      <c r="V104" s="230">
        <f t="shared" ref="V104:V112" si="187">F104+J104+N104+R104</f>
        <v>0</v>
      </c>
    </row>
    <row r="105" spans="1:23" ht="15.75" customHeight="1" x14ac:dyDescent="0.2">
      <c r="A105" s="336" t="s">
        <v>64</v>
      </c>
      <c r="B105" s="343" t="s">
        <v>160</v>
      </c>
      <c r="C105" s="185">
        <f t="shared" si="36"/>
        <v>4000</v>
      </c>
      <c r="D105" s="187">
        <v>4000</v>
      </c>
      <c r="E105" s="187"/>
      <c r="F105" s="230"/>
      <c r="G105" s="221">
        <f t="shared" si="37"/>
        <v>0</v>
      </c>
      <c r="H105" s="187"/>
      <c r="I105" s="187"/>
      <c r="J105" s="327"/>
      <c r="K105" s="185">
        <f t="shared" si="38"/>
        <v>0</v>
      </c>
      <c r="L105" s="187"/>
      <c r="M105" s="187"/>
      <c r="N105" s="230"/>
      <c r="O105" s="221">
        <f t="shared" si="39"/>
        <v>0</v>
      </c>
      <c r="P105" s="192"/>
      <c r="Q105" s="192"/>
      <c r="R105" s="253"/>
      <c r="S105" s="185">
        <f t="shared" si="40"/>
        <v>4000</v>
      </c>
      <c r="T105" s="186">
        <f t="shared" si="185"/>
        <v>4000</v>
      </c>
      <c r="U105" s="186">
        <f t="shared" si="186"/>
        <v>0</v>
      </c>
      <c r="V105" s="300">
        <f t="shared" si="187"/>
        <v>0</v>
      </c>
      <c r="W105" s="150"/>
    </row>
    <row r="106" spans="1:23" ht="15.75" customHeight="1" x14ac:dyDescent="0.2">
      <c r="A106" s="336" t="s">
        <v>65</v>
      </c>
      <c r="B106" s="343" t="s">
        <v>138</v>
      </c>
      <c r="C106" s="185">
        <f t="shared" si="36"/>
        <v>7000</v>
      </c>
      <c r="D106" s="187">
        <v>7000</v>
      </c>
      <c r="E106" s="187"/>
      <c r="F106" s="230"/>
      <c r="G106" s="221">
        <f t="shared" si="37"/>
        <v>0</v>
      </c>
      <c r="H106" s="187"/>
      <c r="I106" s="187"/>
      <c r="J106" s="327"/>
      <c r="K106" s="185">
        <f t="shared" si="38"/>
        <v>0</v>
      </c>
      <c r="L106" s="187"/>
      <c r="M106" s="187"/>
      <c r="N106" s="230"/>
      <c r="O106" s="221">
        <f t="shared" si="39"/>
        <v>0</v>
      </c>
      <c r="P106" s="192"/>
      <c r="Q106" s="192"/>
      <c r="R106" s="253"/>
      <c r="S106" s="185">
        <f t="shared" si="40"/>
        <v>7000</v>
      </c>
      <c r="T106" s="186">
        <f t="shared" si="185"/>
        <v>7000</v>
      </c>
      <c r="U106" s="186">
        <f t="shared" si="186"/>
        <v>0</v>
      </c>
      <c r="V106" s="230">
        <f t="shared" si="187"/>
        <v>0</v>
      </c>
    </row>
    <row r="107" spans="1:23" ht="15.75" customHeight="1" x14ac:dyDescent="0.2">
      <c r="A107" s="336" t="s">
        <v>66</v>
      </c>
      <c r="B107" s="342" t="s">
        <v>155</v>
      </c>
      <c r="C107" s="185">
        <f t="shared" si="36"/>
        <v>30600</v>
      </c>
      <c r="D107" s="187">
        <v>10600</v>
      </c>
      <c r="E107" s="187"/>
      <c r="F107" s="230">
        <v>20000</v>
      </c>
      <c r="G107" s="221">
        <f t="shared" si="37"/>
        <v>0</v>
      </c>
      <c r="H107" s="187"/>
      <c r="I107" s="187"/>
      <c r="J107" s="327"/>
      <c r="K107" s="185">
        <f t="shared" si="38"/>
        <v>5800</v>
      </c>
      <c r="L107" s="187">
        <v>5800</v>
      </c>
      <c r="M107" s="187"/>
      <c r="N107" s="230"/>
      <c r="O107" s="221">
        <f t="shared" si="39"/>
        <v>0</v>
      </c>
      <c r="P107" s="192"/>
      <c r="Q107" s="192"/>
      <c r="R107" s="253"/>
      <c r="S107" s="185">
        <f t="shared" si="40"/>
        <v>36400</v>
      </c>
      <c r="T107" s="186">
        <f t="shared" si="185"/>
        <v>16400</v>
      </c>
      <c r="U107" s="186">
        <f t="shared" si="186"/>
        <v>0</v>
      </c>
      <c r="V107" s="300">
        <f t="shared" si="187"/>
        <v>20000</v>
      </c>
      <c r="W107" s="150"/>
    </row>
    <row r="108" spans="1:23" ht="15.75" customHeight="1" x14ac:dyDescent="0.2">
      <c r="A108" s="336" t="s">
        <v>66</v>
      </c>
      <c r="B108" s="342" t="s">
        <v>484</v>
      </c>
      <c r="C108" s="185"/>
      <c r="D108" s="187"/>
      <c r="E108" s="187"/>
      <c r="F108" s="230"/>
      <c r="G108" s="221"/>
      <c r="H108" s="187"/>
      <c r="I108" s="187"/>
      <c r="J108" s="327"/>
      <c r="K108" s="185">
        <f t="shared" ref="K108" si="188">L108+N108</f>
        <v>1602.07</v>
      </c>
      <c r="L108" s="187">
        <v>1602.07</v>
      </c>
      <c r="M108" s="187"/>
      <c r="N108" s="230"/>
      <c r="O108" s="221"/>
      <c r="P108" s="192"/>
      <c r="Q108" s="192"/>
      <c r="R108" s="253"/>
      <c r="S108" s="185">
        <f t="shared" ref="S108" si="189">T108+V108</f>
        <v>1602.07</v>
      </c>
      <c r="T108" s="186">
        <f t="shared" si="185"/>
        <v>1602.07</v>
      </c>
      <c r="U108" s="186">
        <f t="shared" si="186"/>
        <v>0</v>
      </c>
      <c r="V108" s="300">
        <f t="shared" si="187"/>
        <v>0</v>
      </c>
      <c r="W108" s="150"/>
    </row>
    <row r="109" spans="1:23" ht="15.75" customHeight="1" x14ac:dyDescent="0.2">
      <c r="A109" s="336" t="s">
        <v>66</v>
      </c>
      <c r="B109" s="343" t="s">
        <v>161</v>
      </c>
      <c r="C109" s="185">
        <f t="shared" si="36"/>
        <v>5000</v>
      </c>
      <c r="D109" s="187">
        <v>5000</v>
      </c>
      <c r="E109" s="187"/>
      <c r="F109" s="230"/>
      <c r="G109" s="221">
        <f t="shared" si="37"/>
        <v>0</v>
      </c>
      <c r="H109" s="187"/>
      <c r="I109" s="187"/>
      <c r="J109" s="327"/>
      <c r="K109" s="185">
        <f t="shared" si="38"/>
        <v>0</v>
      </c>
      <c r="L109" s="187"/>
      <c r="M109" s="187"/>
      <c r="N109" s="230"/>
      <c r="O109" s="221">
        <f t="shared" si="39"/>
        <v>0</v>
      </c>
      <c r="P109" s="192"/>
      <c r="Q109" s="192"/>
      <c r="R109" s="253"/>
      <c r="S109" s="185">
        <f t="shared" ref="S109" si="190">T109+V109</f>
        <v>5000</v>
      </c>
      <c r="T109" s="186">
        <f t="shared" si="185"/>
        <v>5000</v>
      </c>
      <c r="U109" s="186">
        <f t="shared" si="186"/>
        <v>0</v>
      </c>
      <c r="V109" s="300">
        <f t="shared" si="187"/>
        <v>0</v>
      </c>
      <c r="W109" s="150"/>
    </row>
    <row r="110" spans="1:23" ht="15.75" customHeight="1" x14ac:dyDescent="0.2">
      <c r="A110" s="336" t="s">
        <v>66</v>
      </c>
      <c r="B110" s="343" t="s">
        <v>139</v>
      </c>
      <c r="C110" s="185">
        <f>D110+F110</f>
        <v>15000</v>
      </c>
      <c r="D110" s="187">
        <v>15000</v>
      </c>
      <c r="E110" s="187"/>
      <c r="F110" s="230"/>
      <c r="G110" s="221">
        <f>H110+J110</f>
        <v>0</v>
      </c>
      <c r="H110" s="187"/>
      <c r="I110" s="187"/>
      <c r="J110" s="327"/>
      <c r="K110" s="185">
        <f>L110+N110</f>
        <v>0</v>
      </c>
      <c r="L110" s="187"/>
      <c r="M110" s="187"/>
      <c r="N110" s="230"/>
      <c r="O110" s="221">
        <f>P110+R110</f>
        <v>0</v>
      </c>
      <c r="P110" s="192"/>
      <c r="Q110" s="192"/>
      <c r="R110" s="253"/>
      <c r="S110" s="185">
        <f>T110+V110</f>
        <v>15000</v>
      </c>
      <c r="T110" s="186">
        <f t="shared" si="185"/>
        <v>15000</v>
      </c>
      <c r="U110" s="186">
        <f t="shared" si="186"/>
        <v>0</v>
      </c>
      <c r="V110" s="300">
        <f t="shared" si="187"/>
        <v>0</v>
      </c>
      <c r="W110" s="150"/>
    </row>
    <row r="111" spans="1:23" ht="15.75" customHeight="1" x14ac:dyDescent="0.2">
      <c r="A111" s="336"/>
      <c r="B111" s="352" t="s">
        <v>164</v>
      </c>
      <c r="C111" s="183">
        <f t="shared" ref="C111:C144" si="191">D111+F111</f>
        <v>36700</v>
      </c>
      <c r="D111" s="188">
        <f>SUM(D112:D118)</f>
        <v>31700</v>
      </c>
      <c r="E111" s="188">
        <f>SUM(E112:E118)</f>
        <v>0</v>
      </c>
      <c r="F111" s="252">
        <f>SUM(F112:F118)</f>
        <v>5000</v>
      </c>
      <c r="G111" s="246">
        <f t="shared" ref="G111:G144" si="192">H111+J111</f>
        <v>0</v>
      </c>
      <c r="H111" s="188">
        <f>SUM(H112:H118)</f>
        <v>0</v>
      </c>
      <c r="I111" s="188">
        <f>SUM(I112:I118)</f>
        <v>0</v>
      </c>
      <c r="J111" s="188">
        <f>SUM(J112:J118)</f>
        <v>0</v>
      </c>
      <c r="K111" s="183">
        <f t="shared" ref="K111:K144" si="193">L111+N111</f>
        <v>1115.27</v>
      </c>
      <c r="L111" s="188">
        <f>SUM(L112:L118)</f>
        <v>1115.27</v>
      </c>
      <c r="M111" s="188">
        <f>SUM(M112:M118)</f>
        <v>0</v>
      </c>
      <c r="N111" s="252">
        <f>SUM(N112:N118)</f>
        <v>0</v>
      </c>
      <c r="O111" s="246">
        <f t="shared" ref="O111:O144" si="194">P111+R111</f>
        <v>0</v>
      </c>
      <c r="P111" s="188">
        <f>SUM(P112:P118)</f>
        <v>0</v>
      </c>
      <c r="Q111" s="188">
        <f>SUM(Q112:Q118)</f>
        <v>0</v>
      </c>
      <c r="R111" s="188">
        <f>SUM(R112:R118)</f>
        <v>0</v>
      </c>
      <c r="S111" s="183">
        <f t="shared" ref="S111:S118" si="195">T111+V111</f>
        <v>37815.269999999997</v>
      </c>
      <c r="T111" s="184">
        <f>D111+H111+L111+P111</f>
        <v>32815.269999999997</v>
      </c>
      <c r="U111" s="184">
        <f t="shared" si="186"/>
        <v>0</v>
      </c>
      <c r="V111" s="252">
        <f t="shared" si="187"/>
        <v>5000</v>
      </c>
    </row>
    <row r="112" spans="1:23" ht="15.75" customHeight="1" x14ac:dyDescent="0.2">
      <c r="A112" s="336" t="s">
        <v>64</v>
      </c>
      <c r="B112" s="343" t="s">
        <v>319</v>
      </c>
      <c r="C112" s="185">
        <f t="shared" si="191"/>
        <v>100</v>
      </c>
      <c r="D112" s="187">
        <v>100</v>
      </c>
      <c r="E112" s="187"/>
      <c r="F112" s="230"/>
      <c r="G112" s="221">
        <f t="shared" si="192"/>
        <v>0</v>
      </c>
      <c r="H112" s="187"/>
      <c r="I112" s="187"/>
      <c r="J112" s="327"/>
      <c r="K112" s="185">
        <f t="shared" si="193"/>
        <v>0</v>
      </c>
      <c r="L112" s="187"/>
      <c r="M112" s="187"/>
      <c r="N112" s="230"/>
      <c r="O112" s="221">
        <f t="shared" si="194"/>
        <v>0</v>
      </c>
      <c r="P112" s="192"/>
      <c r="Q112" s="192"/>
      <c r="R112" s="253"/>
      <c r="S112" s="185">
        <f t="shared" si="195"/>
        <v>100</v>
      </c>
      <c r="T112" s="186">
        <f>D112+H112+L112+P112</f>
        <v>100</v>
      </c>
      <c r="U112" s="186">
        <f t="shared" si="186"/>
        <v>0</v>
      </c>
      <c r="V112" s="300">
        <f t="shared" si="187"/>
        <v>0</v>
      </c>
      <c r="W112" s="150"/>
    </row>
    <row r="113" spans="1:23" ht="15.75" customHeight="1" x14ac:dyDescent="0.2">
      <c r="A113" s="336" t="s">
        <v>64</v>
      </c>
      <c r="B113" s="343" t="s">
        <v>160</v>
      </c>
      <c r="C113" s="185">
        <f t="shared" si="191"/>
        <v>2000</v>
      </c>
      <c r="D113" s="187">
        <v>2000</v>
      </c>
      <c r="E113" s="187"/>
      <c r="F113" s="230"/>
      <c r="G113" s="221">
        <f t="shared" si="192"/>
        <v>0</v>
      </c>
      <c r="H113" s="187"/>
      <c r="I113" s="187"/>
      <c r="J113" s="327"/>
      <c r="K113" s="185">
        <f t="shared" si="193"/>
        <v>0</v>
      </c>
      <c r="L113" s="187"/>
      <c r="M113" s="187"/>
      <c r="N113" s="230"/>
      <c r="O113" s="221">
        <f t="shared" si="194"/>
        <v>0</v>
      </c>
      <c r="P113" s="192"/>
      <c r="Q113" s="192"/>
      <c r="R113" s="253"/>
      <c r="S113" s="185">
        <f t="shared" si="195"/>
        <v>2000</v>
      </c>
      <c r="T113" s="186">
        <f t="shared" ref="T113:T118" si="196">D113+H113+L113+P113</f>
        <v>2000</v>
      </c>
      <c r="U113" s="186">
        <f t="shared" ref="U113:U120" si="197">E113+I113+M113+Q113</f>
        <v>0</v>
      </c>
      <c r="V113" s="300">
        <f t="shared" ref="V113:V120" si="198">F113+J113+N113+R113</f>
        <v>0</v>
      </c>
      <c r="W113" s="150"/>
    </row>
    <row r="114" spans="1:23" ht="15.75" customHeight="1" x14ac:dyDescent="0.2">
      <c r="A114" s="336" t="s">
        <v>65</v>
      </c>
      <c r="B114" s="343" t="s">
        <v>138</v>
      </c>
      <c r="C114" s="185">
        <f t="shared" si="191"/>
        <v>8000</v>
      </c>
      <c r="D114" s="187">
        <v>8000</v>
      </c>
      <c r="E114" s="187"/>
      <c r="F114" s="230"/>
      <c r="G114" s="221">
        <f t="shared" si="192"/>
        <v>0</v>
      </c>
      <c r="H114" s="187"/>
      <c r="I114" s="187"/>
      <c r="J114" s="327"/>
      <c r="K114" s="185">
        <f t="shared" si="193"/>
        <v>0</v>
      </c>
      <c r="L114" s="187"/>
      <c r="M114" s="187"/>
      <c r="N114" s="230"/>
      <c r="O114" s="221">
        <f t="shared" si="194"/>
        <v>0</v>
      </c>
      <c r="P114" s="192"/>
      <c r="Q114" s="192"/>
      <c r="R114" s="253"/>
      <c r="S114" s="185">
        <f t="shared" si="195"/>
        <v>8000</v>
      </c>
      <c r="T114" s="186">
        <f t="shared" si="196"/>
        <v>8000</v>
      </c>
      <c r="U114" s="186">
        <f t="shared" si="197"/>
        <v>0</v>
      </c>
      <c r="V114" s="300">
        <f t="shared" si="198"/>
        <v>0</v>
      </c>
      <c r="W114" s="150"/>
    </row>
    <row r="115" spans="1:23" ht="15.75" customHeight="1" x14ac:dyDescent="0.2">
      <c r="A115" s="336" t="s">
        <v>66</v>
      </c>
      <c r="B115" s="343" t="s">
        <v>161</v>
      </c>
      <c r="C115" s="185">
        <f t="shared" si="191"/>
        <v>2000</v>
      </c>
      <c r="D115" s="187">
        <v>2000</v>
      </c>
      <c r="E115" s="187"/>
      <c r="F115" s="230"/>
      <c r="G115" s="221">
        <f t="shared" si="192"/>
        <v>0</v>
      </c>
      <c r="H115" s="187"/>
      <c r="I115" s="187"/>
      <c r="J115" s="327"/>
      <c r="K115" s="185">
        <f t="shared" si="193"/>
        <v>0</v>
      </c>
      <c r="L115" s="187"/>
      <c r="M115" s="187"/>
      <c r="N115" s="230"/>
      <c r="O115" s="221">
        <f t="shared" si="194"/>
        <v>0</v>
      </c>
      <c r="P115" s="192"/>
      <c r="Q115" s="192"/>
      <c r="R115" s="253"/>
      <c r="S115" s="185">
        <f t="shared" si="195"/>
        <v>2000</v>
      </c>
      <c r="T115" s="186">
        <f t="shared" si="196"/>
        <v>2000</v>
      </c>
      <c r="U115" s="186">
        <f t="shared" si="197"/>
        <v>0</v>
      </c>
      <c r="V115" s="230">
        <f t="shared" si="198"/>
        <v>0</v>
      </c>
    </row>
    <row r="116" spans="1:23" ht="15.75" customHeight="1" x14ac:dyDescent="0.2">
      <c r="A116" s="336" t="s">
        <v>66</v>
      </c>
      <c r="B116" s="342" t="s">
        <v>155</v>
      </c>
      <c r="C116" s="185">
        <f t="shared" si="191"/>
        <v>17900</v>
      </c>
      <c r="D116" s="187">
        <v>12900</v>
      </c>
      <c r="E116" s="187"/>
      <c r="F116" s="230">
        <v>5000</v>
      </c>
      <c r="G116" s="221">
        <f t="shared" si="192"/>
        <v>0</v>
      </c>
      <c r="H116" s="187"/>
      <c r="I116" s="187"/>
      <c r="J116" s="327"/>
      <c r="K116" s="185">
        <f t="shared" si="193"/>
        <v>500</v>
      </c>
      <c r="L116" s="187">
        <v>500</v>
      </c>
      <c r="M116" s="187"/>
      <c r="N116" s="230"/>
      <c r="O116" s="221">
        <f t="shared" si="194"/>
        <v>0</v>
      </c>
      <c r="P116" s="192"/>
      <c r="Q116" s="192"/>
      <c r="R116" s="253"/>
      <c r="S116" s="185">
        <f t="shared" si="195"/>
        <v>18400</v>
      </c>
      <c r="T116" s="186">
        <f t="shared" si="196"/>
        <v>13400</v>
      </c>
      <c r="U116" s="186">
        <f t="shared" si="197"/>
        <v>0</v>
      </c>
      <c r="V116" s="300">
        <f t="shared" si="198"/>
        <v>5000</v>
      </c>
      <c r="W116" s="150"/>
    </row>
    <row r="117" spans="1:23" ht="15.75" customHeight="1" x14ac:dyDescent="0.2">
      <c r="A117" s="336" t="s">
        <v>66</v>
      </c>
      <c r="B117" s="342" t="s">
        <v>484</v>
      </c>
      <c r="C117" s="185"/>
      <c r="D117" s="187"/>
      <c r="E117" s="187"/>
      <c r="F117" s="230"/>
      <c r="G117" s="221"/>
      <c r="H117" s="187"/>
      <c r="I117" s="187"/>
      <c r="J117" s="327"/>
      <c r="K117" s="185">
        <f t="shared" si="193"/>
        <v>615.27</v>
      </c>
      <c r="L117" s="187">
        <v>615.27</v>
      </c>
      <c r="M117" s="187"/>
      <c r="N117" s="230"/>
      <c r="O117" s="221"/>
      <c r="P117" s="192"/>
      <c r="Q117" s="192"/>
      <c r="R117" s="253"/>
      <c r="S117" s="185">
        <f t="shared" ref="S117" si="199">T117+V117</f>
        <v>615.27</v>
      </c>
      <c r="T117" s="186">
        <f t="shared" si="196"/>
        <v>615.27</v>
      </c>
      <c r="U117" s="186">
        <f t="shared" si="197"/>
        <v>0</v>
      </c>
      <c r="V117" s="230">
        <f t="shared" si="198"/>
        <v>0</v>
      </c>
    </row>
    <row r="118" spans="1:23" ht="15.75" customHeight="1" x14ac:dyDescent="0.2">
      <c r="A118" s="336" t="s">
        <v>66</v>
      </c>
      <c r="B118" s="343" t="s">
        <v>139</v>
      </c>
      <c r="C118" s="185">
        <f t="shared" si="191"/>
        <v>6700</v>
      </c>
      <c r="D118" s="187">
        <v>6700</v>
      </c>
      <c r="E118" s="187"/>
      <c r="F118" s="230"/>
      <c r="G118" s="221">
        <f t="shared" si="192"/>
        <v>0</v>
      </c>
      <c r="H118" s="187"/>
      <c r="I118" s="187"/>
      <c r="J118" s="327"/>
      <c r="K118" s="185">
        <f t="shared" si="193"/>
        <v>0</v>
      </c>
      <c r="L118" s="187"/>
      <c r="M118" s="187"/>
      <c r="N118" s="230"/>
      <c r="O118" s="221">
        <f t="shared" si="194"/>
        <v>0</v>
      </c>
      <c r="P118" s="192"/>
      <c r="Q118" s="192"/>
      <c r="R118" s="253"/>
      <c r="S118" s="185">
        <f t="shared" si="195"/>
        <v>6700</v>
      </c>
      <c r="T118" s="186">
        <f t="shared" si="196"/>
        <v>6700</v>
      </c>
      <c r="U118" s="186">
        <f t="shared" si="197"/>
        <v>0</v>
      </c>
      <c r="V118" s="230">
        <f t="shared" si="198"/>
        <v>0</v>
      </c>
    </row>
    <row r="119" spans="1:23" ht="15.75" customHeight="1" x14ac:dyDescent="0.2">
      <c r="A119" s="336"/>
      <c r="B119" s="352" t="s">
        <v>165</v>
      </c>
      <c r="C119" s="183">
        <f t="shared" si="191"/>
        <v>29100</v>
      </c>
      <c r="D119" s="188">
        <f>SUM(D120:D126)</f>
        <v>29100</v>
      </c>
      <c r="E119" s="188">
        <f>SUM(E120:E126)</f>
        <v>0</v>
      </c>
      <c r="F119" s="252">
        <f>SUM(F120:F126)</f>
        <v>0</v>
      </c>
      <c r="G119" s="246">
        <f t="shared" si="192"/>
        <v>0</v>
      </c>
      <c r="H119" s="188">
        <f>SUM(H120:H126)</f>
        <v>0</v>
      </c>
      <c r="I119" s="188">
        <f>SUM(I120:I126)</f>
        <v>0</v>
      </c>
      <c r="J119" s="188">
        <f>SUM(J120:J126)</f>
        <v>0</v>
      </c>
      <c r="K119" s="183">
        <f t="shared" si="193"/>
        <v>3403.76</v>
      </c>
      <c r="L119" s="188">
        <f>SUM(L120:L126)</f>
        <v>3403.76</v>
      </c>
      <c r="M119" s="188">
        <f>SUM(M120:M126)</f>
        <v>0</v>
      </c>
      <c r="N119" s="252">
        <f>SUM(N120:N126)</f>
        <v>0</v>
      </c>
      <c r="O119" s="246">
        <f t="shared" si="194"/>
        <v>0</v>
      </c>
      <c r="P119" s="188">
        <f>SUM(P120:P126)</f>
        <v>0</v>
      </c>
      <c r="Q119" s="188">
        <f>SUM(Q120:Q126)</f>
        <v>0</v>
      </c>
      <c r="R119" s="188">
        <f>SUM(R120:R126)</f>
        <v>0</v>
      </c>
      <c r="S119" s="183">
        <f t="shared" si="40"/>
        <v>32503.760000000002</v>
      </c>
      <c r="T119" s="184">
        <f>D119+H119+L119+P119</f>
        <v>32503.760000000002</v>
      </c>
      <c r="U119" s="184">
        <f t="shared" si="197"/>
        <v>0</v>
      </c>
      <c r="V119" s="252">
        <f t="shared" si="198"/>
        <v>0</v>
      </c>
    </row>
    <row r="120" spans="1:23" ht="15.75" customHeight="1" x14ac:dyDescent="0.2">
      <c r="A120" s="336" t="s">
        <v>63</v>
      </c>
      <c r="B120" s="341" t="s">
        <v>321</v>
      </c>
      <c r="C120" s="185">
        <f t="shared" si="191"/>
        <v>1200</v>
      </c>
      <c r="D120" s="187">
        <v>1200</v>
      </c>
      <c r="E120" s="187"/>
      <c r="F120" s="230"/>
      <c r="G120" s="221">
        <f t="shared" si="192"/>
        <v>0</v>
      </c>
      <c r="H120" s="187"/>
      <c r="I120" s="187"/>
      <c r="J120" s="327"/>
      <c r="K120" s="185">
        <f t="shared" si="193"/>
        <v>0</v>
      </c>
      <c r="L120" s="187"/>
      <c r="M120" s="187"/>
      <c r="N120" s="230"/>
      <c r="O120" s="221">
        <f t="shared" si="194"/>
        <v>0</v>
      </c>
      <c r="P120" s="192"/>
      <c r="Q120" s="192"/>
      <c r="R120" s="253"/>
      <c r="S120" s="185">
        <f t="shared" si="40"/>
        <v>1200</v>
      </c>
      <c r="T120" s="186">
        <f>D120+H120+L120+P120</f>
        <v>1200</v>
      </c>
      <c r="U120" s="186">
        <f t="shared" si="197"/>
        <v>0</v>
      </c>
      <c r="V120" s="230">
        <f t="shared" si="198"/>
        <v>0</v>
      </c>
    </row>
    <row r="121" spans="1:23" ht="15.75" customHeight="1" x14ac:dyDescent="0.2">
      <c r="A121" s="336" t="s">
        <v>64</v>
      </c>
      <c r="B121" s="343" t="s">
        <v>319</v>
      </c>
      <c r="C121" s="185">
        <f t="shared" si="191"/>
        <v>500</v>
      </c>
      <c r="D121" s="187">
        <v>500</v>
      </c>
      <c r="E121" s="187"/>
      <c r="F121" s="230"/>
      <c r="G121" s="221">
        <f t="shared" si="192"/>
        <v>0</v>
      </c>
      <c r="H121" s="187"/>
      <c r="I121" s="187"/>
      <c r="J121" s="327"/>
      <c r="K121" s="185">
        <f t="shared" si="193"/>
        <v>0</v>
      </c>
      <c r="L121" s="187"/>
      <c r="M121" s="187"/>
      <c r="N121" s="230"/>
      <c r="O121" s="221">
        <f t="shared" si="194"/>
        <v>0</v>
      </c>
      <c r="P121" s="192"/>
      <c r="Q121" s="192"/>
      <c r="R121" s="253"/>
      <c r="S121" s="185">
        <f t="shared" si="40"/>
        <v>500</v>
      </c>
      <c r="T121" s="186">
        <f t="shared" ref="T121:T126" si="200">D121+H121+L121+P121</f>
        <v>500</v>
      </c>
      <c r="U121" s="186">
        <f t="shared" ref="U121:U128" si="201">E121+I121+M121+Q121</f>
        <v>0</v>
      </c>
      <c r="V121" s="300">
        <f t="shared" ref="V121:V128" si="202">F121+J121+N121+R121</f>
        <v>0</v>
      </c>
      <c r="W121" s="150"/>
    </row>
    <row r="122" spans="1:23" ht="15.75" customHeight="1" x14ac:dyDescent="0.2">
      <c r="A122" s="336" t="s">
        <v>64</v>
      </c>
      <c r="B122" s="343" t="s">
        <v>160</v>
      </c>
      <c r="C122" s="185">
        <f t="shared" si="191"/>
        <v>500</v>
      </c>
      <c r="D122" s="187">
        <v>500</v>
      </c>
      <c r="E122" s="187"/>
      <c r="F122" s="230"/>
      <c r="G122" s="221">
        <f t="shared" si="192"/>
        <v>0</v>
      </c>
      <c r="H122" s="187"/>
      <c r="I122" s="187"/>
      <c r="J122" s="327"/>
      <c r="K122" s="185">
        <f t="shared" si="193"/>
        <v>0</v>
      </c>
      <c r="L122" s="187"/>
      <c r="M122" s="187"/>
      <c r="N122" s="230"/>
      <c r="O122" s="221">
        <f t="shared" si="194"/>
        <v>0</v>
      </c>
      <c r="P122" s="192"/>
      <c r="Q122" s="192"/>
      <c r="R122" s="253"/>
      <c r="S122" s="185">
        <f t="shared" si="40"/>
        <v>500</v>
      </c>
      <c r="T122" s="186">
        <f t="shared" si="200"/>
        <v>500</v>
      </c>
      <c r="U122" s="186">
        <f t="shared" si="201"/>
        <v>0</v>
      </c>
      <c r="V122" s="300">
        <f t="shared" si="202"/>
        <v>0</v>
      </c>
      <c r="W122" s="150"/>
    </row>
    <row r="123" spans="1:23" ht="15.75" customHeight="1" x14ac:dyDescent="0.2">
      <c r="A123" s="336" t="s">
        <v>65</v>
      </c>
      <c r="B123" s="343" t="s">
        <v>138</v>
      </c>
      <c r="C123" s="185">
        <f t="shared" si="191"/>
        <v>5000</v>
      </c>
      <c r="D123" s="187">
        <v>5000</v>
      </c>
      <c r="E123" s="187"/>
      <c r="F123" s="230"/>
      <c r="G123" s="221">
        <f t="shared" si="192"/>
        <v>0</v>
      </c>
      <c r="H123" s="187"/>
      <c r="I123" s="187"/>
      <c r="J123" s="327"/>
      <c r="K123" s="185">
        <f t="shared" si="193"/>
        <v>0</v>
      </c>
      <c r="L123" s="187"/>
      <c r="M123" s="187"/>
      <c r="N123" s="230"/>
      <c r="O123" s="221">
        <f t="shared" si="194"/>
        <v>0</v>
      </c>
      <c r="P123" s="192"/>
      <c r="Q123" s="192"/>
      <c r="R123" s="253"/>
      <c r="S123" s="185">
        <f t="shared" si="40"/>
        <v>5000</v>
      </c>
      <c r="T123" s="186">
        <f t="shared" si="200"/>
        <v>5000</v>
      </c>
      <c r="U123" s="186">
        <f t="shared" si="201"/>
        <v>0</v>
      </c>
      <c r="V123" s="230">
        <f t="shared" si="202"/>
        <v>0</v>
      </c>
    </row>
    <row r="124" spans="1:23" ht="15.75" customHeight="1" x14ac:dyDescent="0.2">
      <c r="A124" s="336" t="s">
        <v>66</v>
      </c>
      <c r="B124" s="342" t="s">
        <v>155</v>
      </c>
      <c r="C124" s="185">
        <f t="shared" si="191"/>
        <v>12900</v>
      </c>
      <c r="D124" s="187">
        <v>12900</v>
      </c>
      <c r="E124" s="187"/>
      <c r="F124" s="230"/>
      <c r="G124" s="221">
        <f t="shared" si="192"/>
        <v>0</v>
      </c>
      <c r="H124" s="187"/>
      <c r="I124" s="187"/>
      <c r="J124" s="327"/>
      <c r="K124" s="185">
        <f t="shared" si="193"/>
        <v>3200</v>
      </c>
      <c r="L124" s="187">
        <v>3200</v>
      </c>
      <c r="M124" s="187"/>
      <c r="N124" s="230"/>
      <c r="O124" s="221">
        <f t="shared" si="194"/>
        <v>0</v>
      </c>
      <c r="P124" s="192"/>
      <c r="Q124" s="192"/>
      <c r="R124" s="253"/>
      <c r="S124" s="185">
        <f t="shared" si="40"/>
        <v>16100</v>
      </c>
      <c r="T124" s="186">
        <f t="shared" si="200"/>
        <v>16100</v>
      </c>
      <c r="U124" s="186">
        <f t="shared" si="201"/>
        <v>0</v>
      </c>
      <c r="V124" s="300">
        <f t="shared" si="202"/>
        <v>0</v>
      </c>
      <c r="W124" s="150"/>
    </row>
    <row r="125" spans="1:23" ht="15.75" customHeight="1" x14ac:dyDescent="0.2">
      <c r="A125" s="336" t="s">
        <v>66</v>
      </c>
      <c r="B125" s="342" t="s">
        <v>484</v>
      </c>
      <c r="C125" s="185"/>
      <c r="D125" s="187"/>
      <c r="E125" s="187"/>
      <c r="F125" s="230"/>
      <c r="G125" s="221"/>
      <c r="H125" s="187"/>
      <c r="I125" s="187"/>
      <c r="J125" s="327"/>
      <c r="K125" s="185">
        <f t="shared" ref="K125" si="203">L125+N125</f>
        <v>203.76</v>
      </c>
      <c r="L125" s="187">
        <v>203.76</v>
      </c>
      <c r="M125" s="187"/>
      <c r="N125" s="230"/>
      <c r="O125" s="221"/>
      <c r="P125" s="192"/>
      <c r="Q125" s="192"/>
      <c r="R125" s="253"/>
      <c r="S125" s="185">
        <f t="shared" ref="S125" si="204">T125+V125</f>
        <v>203.76</v>
      </c>
      <c r="T125" s="186">
        <f t="shared" si="200"/>
        <v>203.76</v>
      </c>
      <c r="U125" s="186">
        <f t="shared" si="201"/>
        <v>0</v>
      </c>
      <c r="V125" s="230">
        <f t="shared" si="202"/>
        <v>0</v>
      </c>
    </row>
    <row r="126" spans="1:23" ht="15.75" customHeight="1" x14ac:dyDescent="0.2">
      <c r="A126" s="336" t="s">
        <v>66</v>
      </c>
      <c r="B126" s="343" t="s">
        <v>139</v>
      </c>
      <c r="C126" s="185">
        <f t="shared" si="191"/>
        <v>9000</v>
      </c>
      <c r="D126" s="187">
        <v>9000</v>
      </c>
      <c r="E126" s="187"/>
      <c r="F126" s="230"/>
      <c r="G126" s="221">
        <f t="shared" si="192"/>
        <v>0</v>
      </c>
      <c r="H126" s="187"/>
      <c r="I126" s="187"/>
      <c r="J126" s="327"/>
      <c r="K126" s="185">
        <f t="shared" si="193"/>
        <v>0</v>
      </c>
      <c r="L126" s="187"/>
      <c r="M126" s="187"/>
      <c r="N126" s="230"/>
      <c r="O126" s="221">
        <f t="shared" si="194"/>
        <v>0</v>
      </c>
      <c r="P126" s="192"/>
      <c r="Q126" s="192"/>
      <c r="R126" s="253"/>
      <c r="S126" s="185">
        <f t="shared" si="40"/>
        <v>9000</v>
      </c>
      <c r="T126" s="186">
        <f t="shared" si="200"/>
        <v>9000</v>
      </c>
      <c r="U126" s="186">
        <f t="shared" si="201"/>
        <v>0</v>
      </c>
      <c r="V126" s="300">
        <f t="shared" si="202"/>
        <v>0</v>
      </c>
      <c r="W126" s="150"/>
    </row>
    <row r="127" spans="1:23" ht="15.75" customHeight="1" x14ac:dyDescent="0.2">
      <c r="A127" s="336"/>
      <c r="B127" s="352" t="s">
        <v>166</v>
      </c>
      <c r="C127" s="183">
        <f t="shared" si="191"/>
        <v>30900</v>
      </c>
      <c r="D127" s="188">
        <f>SUM(D128:D135)</f>
        <v>30900</v>
      </c>
      <c r="E127" s="188">
        <f>SUM(E128:E135)</f>
        <v>0</v>
      </c>
      <c r="F127" s="252">
        <f>SUM(F128:F135)</f>
        <v>0</v>
      </c>
      <c r="G127" s="246">
        <f t="shared" si="192"/>
        <v>0</v>
      </c>
      <c r="H127" s="188">
        <f>SUM(H128:H135)</f>
        <v>0</v>
      </c>
      <c r="I127" s="188">
        <f>SUM(I128:I135)</f>
        <v>0</v>
      </c>
      <c r="J127" s="188">
        <f>SUM(J128:J135)</f>
        <v>0</v>
      </c>
      <c r="K127" s="183">
        <f t="shared" si="193"/>
        <v>4650.1399999999994</v>
      </c>
      <c r="L127" s="188">
        <f>SUM(L128:L135)</f>
        <v>4650.1399999999994</v>
      </c>
      <c r="M127" s="188">
        <f>SUM(M128:M135)</f>
        <v>0</v>
      </c>
      <c r="N127" s="252">
        <f>SUM(N128:N135)</f>
        <v>0</v>
      </c>
      <c r="O127" s="246">
        <f t="shared" si="194"/>
        <v>0</v>
      </c>
      <c r="P127" s="188">
        <f>SUM(P128:P135)</f>
        <v>0</v>
      </c>
      <c r="Q127" s="188">
        <f>SUM(Q128:Q135)</f>
        <v>0</v>
      </c>
      <c r="R127" s="188">
        <f>SUM(R128:R135)</f>
        <v>0</v>
      </c>
      <c r="S127" s="183">
        <f t="shared" si="40"/>
        <v>35550.14</v>
      </c>
      <c r="T127" s="184">
        <f>D127+H127+L127+P127</f>
        <v>35550.14</v>
      </c>
      <c r="U127" s="184">
        <f t="shared" si="201"/>
        <v>0</v>
      </c>
      <c r="V127" s="369">
        <f t="shared" si="202"/>
        <v>0</v>
      </c>
      <c r="W127" s="150"/>
    </row>
    <row r="128" spans="1:23" ht="15.75" customHeight="1" x14ac:dyDescent="0.2">
      <c r="A128" s="336" t="s">
        <v>63</v>
      </c>
      <c r="B128" s="341" t="s">
        <v>321</v>
      </c>
      <c r="C128" s="185">
        <f t="shared" si="191"/>
        <v>1300</v>
      </c>
      <c r="D128" s="187">
        <v>1300</v>
      </c>
      <c r="E128" s="187"/>
      <c r="F128" s="230"/>
      <c r="G128" s="221">
        <f t="shared" si="192"/>
        <v>0</v>
      </c>
      <c r="H128" s="187"/>
      <c r="I128" s="187"/>
      <c r="J128" s="327"/>
      <c r="K128" s="185">
        <f t="shared" si="193"/>
        <v>0</v>
      </c>
      <c r="L128" s="187"/>
      <c r="M128" s="187"/>
      <c r="N128" s="230"/>
      <c r="O128" s="221">
        <f t="shared" si="194"/>
        <v>0</v>
      </c>
      <c r="P128" s="192"/>
      <c r="Q128" s="192"/>
      <c r="R128" s="253"/>
      <c r="S128" s="185">
        <f t="shared" si="40"/>
        <v>1300</v>
      </c>
      <c r="T128" s="186">
        <f>D128+H128+L128+P128</f>
        <v>1300</v>
      </c>
      <c r="U128" s="186">
        <f t="shared" si="201"/>
        <v>0</v>
      </c>
      <c r="V128" s="300">
        <f t="shared" si="202"/>
        <v>0</v>
      </c>
      <c r="W128" s="150"/>
    </row>
    <row r="129" spans="1:23" ht="15.75" customHeight="1" x14ac:dyDescent="0.2">
      <c r="A129" s="336" t="s">
        <v>64</v>
      </c>
      <c r="B129" s="343" t="s">
        <v>319</v>
      </c>
      <c r="C129" s="185">
        <f t="shared" si="191"/>
        <v>200</v>
      </c>
      <c r="D129" s="187">
        <v>200</v>
      </c>
      <c r="E129" s="187"/>
      <c r="F129" s="230"/>
      <c r="G129" s="221">
        <f t="shared" si="192"/>
        <v>0</v>
      </c>
      <c r="H129" s="187"/>
      <c r="I129" s="187"/>
      <c r="J129" s="327"/>
      <c r="K129" s="185">
        <f t="shared" si="193"/>
        <v>0</v>
      </c>
      <c r="L129" s="187"/>
      <c r="M129" s="187"/>
      <c r="N129" s="230"/>
      <c r="O129" s="221">
        <f t="shared" si="194"/>
        <v>0</v>
      </c>
      <c r="P129" s="192"/>
      <c r="Q129" s="192"/>
      <c r="R129" s="253"/>
      <c r="S129" s="185">
        <f t="shared" si="40"/>
        <v>200</v>
      </c>
      <c r="T129" s="186">
        <f t="shared" ref="T129:T135" si="205">D129+H129+L129+P129</f>
        <v>200</v>
      </c>
      <c r="U129" s="186">
        <f t="shared" ref="U129:U137" si="206">E129+I129+M129+Q129</f>
        <v>0</v>
      </c>
      <c r="V129" s="300">
        <f t="shared" ref="V129:V137" si="207">F129+J129+N129+R129</f>
        <v>0</v>
      </c>
      <c r="W129" s="150"/>
    </row>
    <row r="130" spans="1:23" ht="15.75" customHeight="1" x14ac:dyDescent="0.2">
      <c r="A130" s="336" t="s">
        <v>64</v>
      </c>
      <c r="B130" s="343" t="s">
        <v>160</v>
      </c>
      <c r="C130" s="185">
        <f t="shared" si="191"/>
        <v>500</v>
      </c>
      <c r="D130" s="187">
        <v>500</v>
      </c>
      <c r="E130" s="187"/>
      <c r="F130" s="230"/>
      <c r="G130" s="221">
        <f t="shared" si="192"/>
        <v>0</v>
      </c>
      <c r="H130" s="187"/>
      <c r="I130" s="187"/>
      <c r="J130" s="327"/>
      <c r="K130" s="185">
        <f t="shared" si="193"/>
        <v>0</v>
      </c>
      <c r="L130" s="187"/>
      <c r="M130" s="187"/>
      <c r="N130" s="230"/>
      <c r="O130" s="221">
        <f t="shared" si="194"/>
        <v>0</v>
      </c>
      <c r="P130" s="192"/>
      <c r="Q130" s="192"/>
      <c r="R130" s="253"/>
      <c r="S130" s="185">
        <f t="shared" si="40"/>
        <v>500</v>
      </c>
      <c r="T130" s="186">
        <f t="shared" si="205"/>
        <v>500</v>
      </c>
      <c r="U130" s="186">
        <f t="shared" si="206"/>
        <v>0</v>
      </c>
      <c r="V130" s="300">
        <f t="shared" si="207"/>
        <v>0</v>
      </c>
      <c r="W130" s="150"/>
    </row>
    <row r="131" spans="1:23" ht="15.75" customHeight="1" x14ac:dyDescent="0.2">
      <c r="A131" s="336" t="s">
        <v>65</v>
      </c>
      <c r="B131" s="343" t="s">
        <v>138</v>
      </c>
      <c r="C131" s="185">
        <f t="shared" si="191"/>
        <v>8000</v>
      </c>
      <c r="D131" s="187">
        <v>8000</v>
      </c>
      <c r="E131" s="187"/>
      <c r="F131" s="230"/>
      <c r="G131" s="221">
        <f t="shared" si="192"/>
        <v>0</v>
      </c>
      <c r="H131" s="187"/>
      <c r="I131" s="187"/>
      <c r="J131" s="327"/>
      <c r="K131" s="185">
        <f t="shared" si="193"/>
        <v>0</v>
      </c>
      <c r="L131" s="187"/>
      <c r="M131" s="187"/>
      <c r="N131" s="230"/>
      <c r="O131" s="221">
        <f t="shared" si="194"/>
        <v>0</v>
      </c>
      <c r="P131" s="192"/>
      <c r="Q131" s="192"/>
      <c r="R131" s="253"/>
      <c r="S131" s="185">
        <f t="shared" si="40"/>
        <v>8000</v>
      </c>
      <c r="T131" s="186">
        <f t="shared" si="205"/>
        <v>8000</v>
      </c>
      <c r="U131" s="186">
        <f t="shared" si="206"/>
        <v>0</v>
      </c>
      <c r="V131" s="300">
        <f t="shared" si="207"/>
        <v>0</v>
      </c>
      <c r="W131" s="150"/>
    </row>
    <row r="132" spans="1:23" ht="15.75" customHeight="1" x14ac:dyDescent="0.2">
      <c r="A132" s="336" t="s">
        <v>66</v>
      </c>
      <c r="B132" s="343" t="s">
        <v>161</v>
      </c>
      <c r="C132" s="185">
        <f t="shared" si="191"/>
        <v>3400</v>
      </c>
      <c r="D132" s="187">
        <v>3400</v>
      </c>
      <c r="E132" s="187"/>
      <c r="F132" s="230"/>
      <c r="G132" s="221">
        <f t="shared" si="192"/>
        <v>0</v>
      </c>
      <c r="H132" s="187"/>
      <c r="I132" s="187"/>
      <c r="J132" s="327"/>
      <c r="K132" s="185">
        <f t="shared" si="193"/>
        <v>0</v>
      </c>
      <c r="L132" s="187"/>
      <c r="M132" s="187"/>
      <c r="N132" s="230"/>
      <c r="O132" s="221">
        <f t="shared" si="194"/>
        <v>0</v>
      </c>
      <c r="P132" s="192"/>
      <c r="Q132" s="192"/>
      <c r="R132" s="253"/>
      <c r="S132" s="185">
        <f t="shared" si="40"/>
        <v>3400</v>
      </c>
      <c r="T132" s="186">
        <f t="shared" si="205"/>
        <v>3400</v>
      </c>
      <c r="U132" s="186">
        <f t="shared" si="206"/>
        <v>0</v>
      </c>
      <c r="V132" s="300">
        <f t="shared" si="207"/>
        <v>0</v>
      </c>
      <c r="W132" s="150"/>
    </row>
    <row r="133" spans="1:23" ht="15.75" customHeight="1" x14ac:dyDescent="0.2">
      <c r="A133" s="336" t="s">
        <v>66</v>
      </c>
      <c r="B133" s="342" t="s">
        <v>155</v>
      </c>
      <c r="C133" s="185">
        <f t="shared" si="191"/>
        <v>12500</v>
      </c>
      <c r="D133" s="187">
        <v>12500</v>
      </c>
      <c r="E133" s="187"/>
      <c r="F133" s="230"/>
      <c r="G133" s="221">
        <f t="shared" si="192"/>
        <v>0</v>
      </c>
      <c r="H133" s="187"/>
      <c r="I133" s="187"/>
      <c r="J133" s="327"/>
      <c r="K133" s="185">
        <f t="shared" si="193"/>
        <v>1200</v>
      </c>
      <c r="L133" s="187">
        <v>1200</v>
      </c>
      <c r="M133" s="187"/>
      <c r="N133" s="230"/>
      <c r="O133" s="221">
        <f t="shared" si="194"/>
        <v>0</v>
      </c>
      <c r="P133" s="192"/>
      <c r="Q133" s="192"/>
      <c r="R133" s="253"/>
      <c r="S133" s="185">
        <f t="shared" si="40"/>
        <v>13700</v>
      </c>
      <c r="T133" s="186">
        <f t="shared" si="205"/>
        <v>13700</v>
      </c>
      <c r="U133" s="186">
        <f t="shared" si="206"/>
        <v>0</v>
      </c>
      <c r="V133" s="300">
        <f t="shared" si="207"/>
        <v>0</v>
      </c>
      <c r="W133" s="150"/>
    </row>
    <row r="134" spans="1:23" ht="15.75" customHeight="1" x14ac:dyDescent="0.2">
      <c r="A134" s="336" t="s">
        <v>66</v>
      </c>
      <c r="B134" s="342" t="s">
        <v>484</v>
      </c>
      <c r="C134" s="185"/>
      <c r="D134" s="187"/>
      <c r="E134" s="187"/>
      <c r="F134" s="230"/>
      <c r="G134" s="221"/>
      <c r="H134" s="187"/>
      <c r="I134" s="187"/>
      <c r="J134" s="327"/>
      <c r="K134" s="185">
        <f t="shared" si="193"/>
        <v>3450.14</v>
      </c>
      <c r="L134" s="187">
        <v>3450.14</v>
      </c>
      <c r="M134" s="187"/>
      <c r="N134" s="230"/>
      <c r="O134" s="221"/>
      <c r="P134" s="192"/>
      <c r="Q134" s="192"/>
      <c r="R134" s="253"/>
      <c r="S134" s="185">
        <f t="shared" ref="S134" si="208">T134+V134</f>
        <v>3450.14</v>
      </c>
      <c r="T134" s="186">
        <f t="shared" si="205"/>
        <v>3450.14</v>
      </c>
      <c r="U134" s="186">
        <f t="shared" si="206"/>
        <v>0</v>
      </c>
      <c r="V134" s="300">
        <f t="shared" si="207"/>
        <v>0</v>
      </c>
      <c r="W134" s="150"/>
    </row>
    <row r="135" spans="1:23" ht="15.75" customHeight="1" x14ac:dyDescent="0.2">
      <c r="A135" s="336" t="s">
        <v>66</v>
      </c>
      <c r="B135" s="343" t="s">
        <v>139</v>
      </c>
      <c r="C135" s="185">
        <f t="shared" si="191"/>
        <v>5000</v>
      </c>
      <c r="D135" s="187">
        <v>5000</v>
      </c>
      <c r="E135" s="187"/>
      <c r="F135" s="230"/>
      <c r="G135" s="221">
        <f t="shared" si="192"/>
        <v>0</v>
      </c>
      <c r="H135" s="187"/>
      <c r="I135" s="187"/>
      <c r="J135" s="327"/>
      <c r="K135" s="185">
        <f t="shared" si="193"/>
        <v>0</v>
      </c>
      <c r="L135" s="187"/>
      <c r="M135" s="187"/>
      <c r="N135" s="230"/>
      <c r="O135" s="221">
        <f t="shared" si="194"/>
        <v>0</v>
      </c>
      <c r="P135" s="192"/>
      <c r="Q135" s="192"/>
      <c r="R135" s="253"/>
      <c r="S135" s="185">
        <f t="shared" si="40"/>
        <v>5000</v>
      </c>
      <c r="T135" s="186">
        <f t="shared" si="205"/>
        <v>5000</v>
      </c>
      <c r="U135" s="186">
        <f t="shared" si="206"/>
        <v>0</v>
      </c>
      <c r="V135" s="300">
        <f t="shared" si="207"/>
        <v>0</v>
      </c>
      <c r="W135" s="150"/>
    </row>
    <row r="136" spans="1:23" ht="15.75" customHeight="1" x14ac:dyDescent="0.2">
      <c r="A136" s="336"/>
      <c r="B136" s="352" t="s">
        <v>167</v>
      </c>
      <c r="C136" s="183">
        <f t="shared" si="191"/>
        <v>35800</v>
      </c>
      <c r="D136" s="188">
        <f>SUM(D137:D144)</f>
        <v>35800</v>
      </c>
      <c r="E136" s="188">
        <f>SUM(E137:E144)</f>
        <v>0</v>
      </c>
      <c r="F136" s="252">
        <f>SUM(F137:F144)</f>
        <v>0</v>
      </c>
      <c r="G136" s="246">
        <f t="shared" si="192"/>
        <v>0</v>
      </c>
      <c r="H136" s="188">
        <f>SUM(H137:H144)</f>
        <v>0</v>
      </c>
      <c r="I136" s="188">
        <f>SUM(I137:I144)</f>
        <v>0</v>
      </c>
      <c r="J136" s="188">
        <f>SUM(J137:J144)</f>
        <v>0</v>
      </c>
      <c r="K136" s="183">
        <f t="shared" si="193"/>
        <v>6636.25</v>
      </c>
      <c r="L136" s="188">
        <f>SUM(L137:L144)</f>
        <v>6636.25</v>
      </c>
      <c r="M136" s="188">
        <f>SUM(M137:M144)</f>
        <v>0</v>
      </c>
      <c r="N136" s="252">
        <f>SUM(N137:N144)</f>
        <v>0</v>
      </c>
      <c r="O136" s="246">
        <f t="shared" si="194"/>
        <v>0</v>
      </c>
      <c r="P136" s="188">
        <f>SUM(P137:P144)</f>
        <v>0</v>
      </c>
      <c r="Q136" s="188">
        <f>SUM(Q137:Q144)</f>
        <v>0</v>
      </c>
      <c r="R136" s="188">
        <f>SUM(R137:R144)</f>
        <v>0</v>
      </c>
      <c r="S136" s="183">
        <f t="shared" ref="S136:S144" si="209">T136+V136</f>
        <v>42436.25</v>
      </c>
      <c r="T136" s="184">
        <f>D136+H136+L136+P136</f>
        <v>42436.25</v>
      </c>
      <c r="U136" s="184">
        <f t="shared" si="206"/>
        <v>0</v>
      </c>
      <c r="V136" s="369">
        <f t="shared" si="207"/>
        <v>0</v>
      </c>
      <c r="W136" s="150"/>
    </row>
    <row r="137" spans="1:23" ht="15.75" customHeight="1" x14ac:dyDescent="0.2">
      <c r="A137" s="336" t="s">
        <v>63</v>
      </c>
      <c r="B137" s="341" t="s">
        <v>321</v>
      </c>
      <c r="C137" s="185">
        <f t="shared" si="191"/>
        <v>1300</v>
      </c>
      <c r="D137" s="187">
        <v>1300</v>
      </c>
      <c r="E137" s="187"/>
      <c r="F137" s="230"/>
      <c r="G137" s="221">
        <f t="shared" si="192"/>
        <v>0</v>
      </c>
      <c r="H137" s="187"/>
      <c r="I137" s="187"/>
      <c r="J137" s="327"/>
      <c r="K137" s="185">
        <f t="shared" si="193"/>
        <v>0</v>
      </c>
      <c r="L137" s="187"/>
      <c r="M137" s="187"/>
      <c r="N137" s="230"/>
      <c r="O137" s="221">
        <f t="shared" si="194"/>
        <v>0</v>
      </c>
      <c r="P137" s="192"/>
      <c r="Q137" s="192"/>
      <c r="R137" s="253"/>
      <c r="S137" s="185">
        <f t="shared" si="209"/>
        <v>1300</v>
      </c>
      <c r="T137" s="186">
        <f>D137+H137+L137+P137</f>
        <v>1300</v>
      </c>
      <c r="U137" s="186">
        <f t="shared" si="206"/>
        <v>0</v>
      </c>
      <c r="V137" s="230">
        <f t="shared" si="207"/>
        <v>0</v>
      </c>
    </row>
    <row r="138" spans="1:23" ht="15.75" customHeight="1" x14ac:dyDescent="0.2">
      <c r="A138" s="336" t="s">
        <v>64</v>
      </c>
      <c r="B138" s="343" t="s">
        <v>319</v>
      </c>
      <c r="C138" s="185">
        <f t="shared" si="191"/>
        <v>100</v>
      </c>
      <c r="D138" s="187">
        <v>100</v>
      </c>
      <c r="E138" s="187"/>
      <c r="F138" s="230"/>
      <c r="G138" s="221">
        <f t="shared" si="192"/>
        <v>0</v>
      </c>
      <c r="H138" s="187"/>
      <c r="I138" s="187"/>
      <c r="J138" s="327"/>
      <c r="K138" s="185">
        <f t="shared" si="193"/>
        <v>0</v>
      </c>
      <c r="L138" s="187"/>
      <c r="M138" s="187"/>
      <c r="N138" s="230"/>
      <c r="O138" s="221">
        <f t="shared" si="194"/>
        <v>0</v>
      </c>
      <c r="P138" s="192"/>
      <c r="Q138" s="192"/>
      <c r="R138" s="253"/>
      <c r="S138" s="185">
        <f t="shared" si="209"/>
        <v>100</v>
      </c>
      <c r="T138" s="186">
        <f t="shared" ref="T138:T144" si="210">D138+H138+L138+P138</f>
        <v>100</v>
      </c>
      <c r="U138" s="186">
        <f t="shared" ref="U138:U145" si="211">E138+I138+M138+Q138</f>
        <v>0</v>
      </c>
      <c r="V138" s="230">
        <f t="shared" ref="V138:V145" si="212">F138+J138+N138+R138</f>
        <v>0</v>
      </c>
    </row>
    <row r="139" spans="1:23" ht="15.75" customHeight="1" x14ac:dyDescent="0.2">
      <c r="A139" s="336" t="s">
        <v>64</v>
      </c>
      <c r="B139" s="343" t="s">
        <v>160</v>
      </c>
      <c r="C139" s="185">
        <f t="shared" si="191"/>
        <v>3000</v>
      </c>
      <c r="D139" s="187">
        <v>3000</v>
      </c>
      <c r="E139" s="187"/>
      <c r="F139" s="230"/>
      <c r="G139" s="221">
        <f t="shared" si="192"/>
        <v>0</v>
      </c>
      <c r="H139" s="187"/>
      <c r="I139" s="187"/>
      <c r="J139" s="327"/>
      <c r="K139" s="185">
        <f t="shared" si="193"/>
        <v>0</v>
      </c>
      <c r="L139" s="187"/>
      <c r="M139" s="187"/>
      <c r="N139" s="230"/>
      <c r="O139" s="221">
        <f t="shared" si="194"/>
        <v>0</v>
      </c>
      <c r="P139" s="192"/>
      <c r="Q139" s="192"/>
      <c r="R139" s="253"/>
      <c r="S139" s="185">
        <f t="shared" si="209"/>
        <v>3000</v>
      </c>
      <c r="T139" s="186">
        <f t="shared" si="210"/>
        <v>3000</v>
      </c>
      <c r="U139" s="186">
        <f t="shared" si="211"/>
        <v>0</v>
      </c>
      <c r="V139" s="230">
        <f t="shared" si="212"/>
        <v>0</v>
      </c>
    </row>
    <row r="140" spans="1:23" ht="15.75" customHeight="1" x14ac:dyDescent="0.2">
      <c r="A140" s="336" t="s">
        <v>65</v>
      </c>
      <c r="B140" s="343" t="s">
        <v>138</v>
      </c>
      <c r="C140" s="185">
        <f t="shared" si="191"/>
        <v>10000</v>
      </c>
      <c r="D140" s="187">
        <v>10000</v>
      </c>
      <c r="E140" s="187"/>
      <c r="F140" s="230"/>
      <c r="G140" s="221">
        <f t="shared" si="192"/>
        <v>0</v>
      </c>
      <c r="H140" s="187"/>
      <c r="I140" s="187"/>
      <c r="J140" s="327"/>
      <c r="K140" s="185">
        <f t="shared" si="193"/>
        <v>0</v>
      </c>
      <c r="L140" s="187"/>
      <c r="M140" s="187"/>
      <c r="N140" s="230"/>
      <c r="O140" s="221">
        <f t="shared" si="194"/>
        <v>0</v>
      </c>
      <c r="P140" s="192"/>
      <c r="Q140" s="192"/>
      <c r="R140" s="253"/>
      <c r="S140" s="185">
        <f t="shared" si="209"/>
        <v>10000</v>
      </c>
      <c r="T140" s="186">
        <f t="shared" si="210"/>
        <v>10000</v>
      </c>
      <c r="U140" s="186">
        <f t="shared" si="211"/>
        <v>0</v>
      </c>
      <c r="V140" s="230">
        <f t="shared" si="212"/>
        <v>0</v>
      </c>
    </row>
    <row r="141" spans="1:23" ht="15.75" customHeight="1" x14ac:dyDescent="0.2">
      <c r="A141" s="336" t="s">
        <v>66</v>
      </c>
      <c r="B141" s="343" t="s">
        <v>161</v>
      </c>
      <c r="C141" s="185">
        <f t="shared" si="191"/>
        <v>4700</v>
      </c>
      <c r="D141" s="187">
        <v>4700</v>
      </c>
      <c r="E141" s="187"/>
      <c r="F141" s="230"/>
      <c r="G141" s="221">
        <f t="shared" si="192"/>
        <v>0</v>
      </c>
      <c r="H141" s="187"/>
      <c r="I141" s="187"/>
      <c r="J141" s="327"/>
      <c r="K141" s="185">
        <f t="shared" si="193"/>
        <v>0</v>
      </c>
      <c r="L141" s="187"/>
      <c r="M141" s="187"/>
      <c r="N141" s="230"/>
      <c r="O141" s="221">
        <f t="shared" si="194"/>
        <v>0</v>
      </c>
      <c r="P141" s="192"/>
      <c r="Q141" s="192"/>
      <c r="R141" s="253"/>
      <c r="S141" s="185">
        <f t="shared" si="209"/>
        <v>4700</v>
      </c>
      <c r="T141" s="186">
        <f t="shared" si="210"/>
        <v>4700</v>
      </c>
      <c r="U141" s="186">
        <f t="shared" si="211"/>
        <v>0</v>
      </c>
      <c r="V141" s="230">
        <f t="shared" si="212"/>
        <v>0</v>
      </c>
    </row>
    <row r="142" spans="1:23" ht="15.75" customHeight="1" x14ac:dyDescent="0.2">
      <c r="A142" s="336" t="s">
        <v>66</v>
      </c>
      <c r="B142" s="342" t="s">
        <v>155</v>
      </c>
      <c r="C142" s="185">
        <f t="shared" si="191"/>
        <v>7700</v>
      </c>
      <c r="D142" s="187">
        <v>7700</v>
      </c>
      <c r="E142" s="187"/>
      <c r="F142" s="230"/>
      <c r="G142" s="221">
        <f t="shared" si="192"/>
        <v>0</v>
      </c>
      <c r="H142" s="187"/>
      <c r="I142" s="187"/>
      <c r="J142" s="327"/>
      <c r="K142" s="185">
        <f t="shared" si="193"/>
        <v>5500</v>
      </c>
      <c r="L142" s="187">
        <v>5500</v>
      </c>
      <c r="M142" s="187"/>
      <c r="N142" s="230"/>
      <c r="O142" s="221">
        <f t="shared" si="194"/>
        <v>0</v>
      </c>
      <c r="P142" s="192"/>
      <c r="Q142" s="192"/>
      <c r="R142" s="253"/>
      <c r="S142" s="185">
        <f t="shared" si="209"/>
        <v>13200</v>
      </c>
      <c r="T142" s="186">
        <f t="shared" si="210"/>
        <v>13200</v>
      </c>
      <c r="U142" s="186">
        <f t="shared" si="211"/>
        <v>0</v>
      </c>
      <c r="V142" s="230">
        <f t="shared" si="212"/>
        <v>0</v>
      </c>
    </row>
    <row r="143" spans="1:23" ht="15.75" customHeight="1" x14ac:dyDescent="0.2">
      <c r="A143" s="336" t="s">
        <v>66</v>
      </c>
      <c r="B143" s="342" t="s">
        <v>484</v>
      </c>
      <c r="C143" s="185"/>
      <c r="D143" s="187"/>
      <c r="E143" s="187"/>
      <c r="F143" s="230"/>
      <c r="G143" s="221"/>
      <c r="H143" s="187"/>
      <c r="I143" s="187"/>
      <c r="J143" s="327"/>
      <c r="K143" s="185">
        <f t="shared" ref="K143" si="213">L143+N143</f>
        <v>1136.25</v>
      </c>
      <c r="L143" s="187">
        <v>1136.25</v>
      </c>
      <c r="M143" s="187"/>
      <c r="N143" s="230"/>
      <c r="O143" s="221"/>
      <c r="P143" s="192"/>
      <c r="Q143" s="192"/>
      <c r="R143" s="253"/>
      <c r="S143" s="185">
        <f t="shared" ref="S143" si="214">T143+V143</f>
        <v>1136.25</v>
      </c>
      <c r="T143" s="186">
        <f t="shared" si="210"/>
        <v>1136.25</v>
      </c>
      <c r="U143" s="186">
        <f t="shared" si="211"/>
        <v>0</v>
      </c>
      <c r="V143" s="230">
        <f t="shared" si="212"/>
        <v>0</v>
      </c>
    </row>
    <row r="144" spans="1:23" ht="15.75" customHeight="1" x14ac:dyDescent="0.2">
      <c r="A144" s="336" t="s">
        <v>66</v>
      </c>
      <c r="B144" s="343" t="s">
        <v>139</v>
      </c>
      <c r="C144" s="185">
        <f t="shared" si="191"/>
        <v>9000</v>
      </c>
      <c r="D144" s="187">
        <v>9000</v>
      </c>
      <c r="E144" s="187"/>
      <c r="F144" s="230"/>
      <c r="G144" s="221">
        <f t="shared" si="192"/>
        <v>0</v>
      </c>
      <c r="H144" s="187"/>
      <c r="I144" s="187"/>
      <c r="J144" s="327"/>
      <c r="K144" s="185">
        <f t="shared" si="193"/>
        <v>0</v>
      </c>
      <c r="L144" s="187"/>
      <c r="M144" s="187"/>
      <c r="N144" s="230"/>
      <c r="O144" s="221">
        <f t="shared" si="194"/>
        <v>0</v>
      </c>
      <c r="P144" s="192"/>
      <c r="Q144" s="192"/>
      <c r="R144" s="253"/>
      <c r="S144" s="185">
        <f t="shared" si="209"/>
        <v>9000</v>
      </c>
      <c r="T144" s="186">
        <f t="shared" si="210"/>
        <v>9000</v>
      </c>
      <c r="U144" s="186">
        <f t="shared" si="211"/>
        <v>0</v>
      </c>
      <c r="V144" s="300">
        <f t="shared" si="212"/>
        <v>0</v>
      </c>
      <c r="W144" s="150"/>
    </row>
    <row r="145" spans="1:23" ht="15.75" customHeight="1" x14ac:dyDescent="0.2">
      <c r="A145" s="336"/>
      <c r="B145" s="352" t="s">
        <v>168</v>
      </c>
      <c r="C145" s="183">
        <f>D145+F145</f>
        <v>28000</v>
      </c>
      <c r="D145" s="188">
        <f>SUM(D146:D150)</f>
        <v>24000</v>
      </c>
      <c r="E145" s="188">
        <f>SUM(E146:E150)</f>
        <v>0</v>
      </c>
      <c r="F145" s="252">
        <f>SUM(F146:F150)</f>
        <v>4000</v>
      </c>
      <c r="G145" s="246">
        <f>H145+J145</f>
        <v>0</v>
      </c>
      <c r="H145" s="188">
        <f>SUM(H146:H150)</f>
        <v>0</v>
      </c>
      <c r="I145" s="188">
        <f>SUM(I146:I150)</f>
        <v>0</v>
      </c>
      <c r="J145" s="188">
        <f>SUM(J146:J150)</f>
        <v>0</v>
      </c>
      <c r="K145" s="183">
        <f>L145+N145</f>
        <v>1092.6500000000001</v>
      </c>
      <c r="L145" s="188">
        <f>SUM(L146:L150)</f>
        <v>1092.6500000000001</v>
      </c>
      <c r="M145" s="188">
        <f>SUM(M146:M150)</f>
        <v>0</v>
      </c>
      <c r="N145" s="252">
        <f>SUM(N146:N150)</f>
        <v>0</v>
      </c>
      <c r="O145" s="246">
        <f>P145+R145</f>
        <v>0</v>
      </c>
      <c r="P145" s="188">
        <f>SUM(P146:P150)</f>
        <v>0</v>
      </c>
      <c r="Q145" s="188">
        <f>SUM(Q146:Q150)</f>
        <v>0</v>
      </c>
      <c r="R145" s="188">
        <f>SUM(R146:R150)</f>
        <v>0</v>
      </c>
      <c r="S145" s="183">
        <f>T145+V145</f>
        <v>29092.65</v>
      </c>
      <c r="T145" s="184">
        <f>D145+H145+L145+P145</f>
        <v>25092.65</v>
      </c>
      <c r="U145" s="184">
        <f t="shared" si="211"/>
        <v>0</v>
      </c>
      <c r="V145" s="369">
        <f t="shared" si="212"/>
        <v>4000</v>
      </c>
      <c r="W145" s="150"/>
    </row>
    <row r="146" spans="1:23" ht="15.75" customHeight="1" x14ac:dyDescent="0.2">
      <c r="A146" s="336" t="s">
        <v>65</v>
      </c>
      <c r="B146" s="343" t="s">
        <v>138</v>
      </c>
      <c r="C146" s="185">
        <f t="shared" ref="C146" si="215">D146+F146</f>
        <v>11000</v>
      </c>
      <c r="D146" s="187">
        <v>11000</v>
      </c>
      <c r="E146" s="187"/>
      <c r="F146" s="230"/>
      <c r="G146" s="221">
        <f t="shared" ref="G146" si="216">H146+J146</f>
        <v>0</v>
      </c>
      <c r="H146" s="187"/>
      <c r="I146" s="187"/>
      <c r="J146" s="327"/>
      <c r="K146" s="185">
        <f t="shared" ref="K146" si="217">L146+N146</f>
        <v>0</v>
      </c>
      <c r="L146" s="187"/>
      <c r="M146" s="187"/>
      <c r="N146" s="230"/>
      <c r="O146" s="221">
        <f t="shared" ref="O146" si="218">P146+R146</f>
        <v>0</v>
      </c>
      <c r="P146" s="192"/>
      <c r="Q146" s="192"/>
      <c r="R146" s="253"/>
      <c r="S146" s="185">
        <f t="shared" ref="S146" si="219">T146+V146</f>
        <v>11000</v>
      </c>
      <c r="T146" s="227">
        <f t="shared" ref="T146:T150" si="220">D146+H146+L146+P146</f>
        <v>11000</v>
      </c>
      <c r="U146" s="227">
        <f t="shared" ref="U146:U152" si="221">E146+I146+M146+Q146</f>
        <v>0</v>
      </c>
      <c r="V146" s="240">
        <f t="shared" ref="V146:V152" si="222">F146+J146+N146+R146</f>
        <v>0</v>
      </c>
    </row>
    <row r="147" spans="1:23" ht="15.75" customHeight="1" x14ac:dyDescent="0.2">
      <c r="A147" s="336" t="s">
        <v>66</v>
      </c>
      <c r="B147" s="343" t="s">
        <v>161</v>
      </c>
      <c r="C147" s="185">
        <f>D147+F147</f>
        <v>100</v>
      </c>
      <c r="D147" s="187">
        <v>100</v>
      </c>
      <c r="E147" s="187"/>
      <c r="F147" s="230"/>
      <c r="G147" s="221">
        <f>H147+J147</f>
        <v>0</v>
      </c>
      <c r="H147" s="187"/>
      <c r="I147" s="187"/>
      <c r="J147" s="327"/>
      <c r="K147" s="185">
        <f>L147+N147</f>
        <v>0</v>
      </c>
      <c r="L147" s="187"/>
      <c r="M147" s="187"/>
      <c r="N147" s="230"/>
      <c r="O147" s="221">
        <f>P147+R147</f>
        <v>0</v>
      </c>
      <c r="P147" s="192"/>
      <c r="Q147" s="192"/>
      <c r="R147" s="253"/>
      <c r="S147" s="185">
        <f>T147+V147</f>
        <v>100</v>
      </c>
      <c r="T147" s="227">
        <f t="shared" si="220"/>
        <v>100</v>
      </c>
      <c r="U147" s="227">
        <f t="shared" si="221"/>
        <v>0</v>
      </c>
      <c r="V147" s="240">
        <f t="shared" si="222"/>
        <v>0</v>
      </c>
    </row>
    <row r="148" spans="1:23" ht="15.75" customHeight="1" x14ac:dyDescent="0.2">
      <c r="A148" s="336" t="s">
        <v>66</v>
      </c>
      <c r="B148" s="342" t="s">
        <v>484</v>
      </c>
      <c r="C148" s="185"/>
      <c r="D148" s="187"/>
      <c r="E148" s="187"/>
      <c r="F148" s="230"/>
      <c r="G148" s="221"/>
      <c r="H148" s="187"/>
      <c r="I148" s="187"/>
      <c r="J148" s="327"/>
      <c r="K148" s="185">
        <f t="shared" ref="K148" si="223">L148+N148</f>
        <v>292.64999999999998</v>
      </c>
      <c r="L148" s="187">
        <v>292.64999999999998</v>
      </c>
      <c r="M148" s="187"/>
      <c r="N148" s="230"/>
      <c r="O148" s="221"/>
      <c r="P148" s="192"/>
      <c r="Q148" s="192"/>
      <c r="R148" s="253"/>
      <c r="S148" s="185">
        <f>T148+V148</f>
        <v>292.64999999999998</v>
      </c>
      <c r="T148" s="227">
        <f t="shared" si="220"/>
        <v>292.64999999999998</v>
      </c>
      <c r="U148" s="227">
        <f t="shared" si="221"/>
        <v>0</v>
      </c>
      <c r="V148" s="228">
        <f t="shared" si="222"/>
        <v>0</v>
      </c>
      <c r="W148" s="150"/>
    </row>
    <row r="149" spans="1:23" ht="15.75" customHeight="1" x14ac:dyDescent="0.2">
      <c r="A149" s="336" t="s">
        <v>66</v>
      </c>
      <c r="B149" s="342" t="s">
        <v>155</v>
      </c>
      <c r="C149" s="185">
        <f>D149+F149</f>
        <v>12300</v>
      </c>
      <c r="D149" s="187">
        <v>8300</v>
      </c>
      <c r="E149" s="187"/>
      <c r="F149" s="230">
        <v>4000</v>
      </c>
      <c r="G149" s="221">
        <f>H149+J149</f>
        <v>0</v>
      </c>
      <c r="H149" s="187"/>
      <c r="I149" s="187"/>
      <c r="J149" s="327"/>
      <c r="K149" s="185">
        <f>L149+N149</f>
        <v>800</v>
      </c>
      <c r="L149" s="187">
        <v>800</v>
      </c>
      <c r="M149" s="187"/>
      <c r="N149" s="230"/>
      <c r="O149" s="221">
        <f>P149+R149</f>
        <v>0</v>
      </c>
      <c r="P149" s="192"/>
      <c r="Q149" s="192"/>
      <c r="R149" s="253"/>
      <c r="S149" s="185">
        <f>T149+V149</f>
        <v>13100</v>
      </c>
      <c r="T149" s="227">
        <f t="shared" si="220"/>
        <v>9100</v>
      </c>
      <c r="U149" s="227">
        <f t="shared" si="221"/>
        <v>0</v>
      </c>
      <c r="V149" s="228">
        <f t="shared" si="222"/>
        <v>4000</v>
      </c>
      <c r="W149" s="150"/>
    </row>
    <row r="150" spans="1:23" ht="15.75" customHeight="1" x14ac:dyDescent="0.2">
      <c r="A150" s="336" t="s">
        <v>66</v>
      </c>
      <c r="B150" s="343" t="s">
        <v>139</v>
      </c>
      <c r="C150" s="185">
        <f>D150+F150</f>
        <v>4600</v>
      </c>
      <c r="D150" s="187">
        <v>4600</v>
      </c>
      <c r="E150" s="187"/>
      <c r="F150" s="230"/>
      <c r="G150" s="221">
        <f>H150+J150</f>
        <v>0</v>
      </c>
      <c r="H150" s="187"/>
      <c r="I150" s="187"/>
      <c r="J150" s="327"/>
      <c r="K150" s="185">
        <f>L150+N150</f>
        <v>0</v>
      </c>
      <c r="L150" s="187"/>
      <c r="M150" s="187"/>
      <c r="N150" s="230"/>
      <c r="O150" s="221">
        <f>P150+R150</f>
        <v>0</v>
      </c>
      <c r="P150" s="192"/>
      <c r="Q150" s="192"/>
      <c r="R150" s="253"/>
      <c r="S150" s="185">
        <f>T150+V150</f>
        <v>4600</v>
      </c>
      <c r="T150" s="227">
        <f t="shared" si="220"/>
        <v>4600</v>
      </c>
      <c r="U150" s="227">
        <f t="shared" si="221"/>
        <v>0</v>
      </c>
      <c r="V150" s="240">
        <f t="shared" si="222"/>
        <v>0</v>
      </c>
    </row>
    <row r="151" spans="1:23" ht="15.75" customHeight="1" x14ac:dyDescent="0.2">
      <c r="A151" s="336"/>
      <c r="B151" s="352" t="s">
        <v>169</v>
      </c>
      <c r="C151" s="183">
        <f t="shared" ref="C151:C182" si="224">D151+F151</f>
        <v>31900</v>
      </c>
      <c r="D151" s="188">
        <f>SUM(D152:D158)</f>
        <v>25900</v>
      </c>
      <c r="E151" s="188">
        <f>SUM(E152:E158)</f>
        <v>0</v>
      </c>
      <c r="F151" s="252">
        <f>SUM(F152:F158)</f>
        <v>6000</v>
      </c>
      <c r="G151" s="246">
        <f t="shared" ref="G151:G182" si="225">H151+J151</f>
        <v>0</v>
      </c>
      <c r="H151" s="188">
        <f>SUM(H152:H158)</f>
        <v>0</v>
      </c>
      <c r="I151" s="188">
        <f>SUM(I152:I158)</f>
        <v>0</v>
      </c>
      <c r="J151" s="188">
        <f>SUM(J152:J158)</f>
        <v>0</v>
      </c>
      <c r="K151" s="183">
        <f t="shared" ref="K151:K182" si="226">L151+N151</f>
        <v>848.53</v>
      </c>
      <c r="L151" s="188">
        <f>SUM(L152:L158)</f>
        <v>848.53</v>
      </c>
      <c r="M151" s="188">
        <f>SUM(M152:M158)</f>
        <v>0</v>
      </c>
      <c r="N151" s="252">
        <f>SUM(N152:N158)</f>
        <v>0</v>
      </c>
      <c r="O151" s="246">
        <f t="shared" ref="O151:O182" si="227">P151+R151</f>
        <v>0</v>
      </c>
      <c r="P151" s="188">
        <f>SUM(P152:P158)</f>
        <v>0</v>
      </c>
      <c r="Q151" s="188">
        <f>SUM(Q152:Q158)</f>
        <v>0</v>
      </c>
      <c r="R151" s="188">
        <f>SUM(R152:R158)</f>
        <v>0</v>
      </c>
      <c r="S151" s="183">
        <f t="shared" ref="S151:S182" si="228">T151+V151</f>
        <v>32748.53</v>
      </c>
      <c r="T151" s="184">
        <f>D151+H151+L151+P151</f>
        <v>26748.53</v>
      </c>
      <c r="U151" s="184">
        <f t="shared" si="221"/>
        <v>0</v>
      </c>
      <c r="V151" s="369">
        <f t="shared" si="222"/>
        <v>6000</v>
      </c>
      <c r="W151" s="150"/>
    </row>
    <row r="152" spans="1:23" ht="15.75" customHeight="1" x14ac:dyDescent="0.2">
      <c r="A152" s="336" t="s">
        <v>64</v>
      </c>
      <c r="B152" s="343" t="s">
        <v>319</v>
      </c>
      <c r="C152" s="185">
        <f t="shared" si="224"/>
        <v>100</v>
      </c>
      <c r="D152" s="187">
        <v>100</v>
      </c>
      <c r="E152" s="187"/>
      <c r="F152" s="230"/>
      <c r="G152" s="221">
        <f t="shared" si="225"/>
        <v>0</v>
      </c>
      <c r="H152" s="187"/>
      <c r="I152" s="187"/>
      <c r="J152" s="327"/>
      <c r="K152" s="185">
        <f t="shared" si="226"/>
        <v>0</v>
      </c>
      <c r="L152" s="187"/>
      <c r="M152" s="187"/>
      <c r="N152" s="230"/>
      <c r="O152" s="221">
        <f t="shared" si="227"/>
        <v>0</v>
      </c>
      <c r="P152" s="192"/>
      <c r="Q152" s="192"/>
      <c r="R152" s="253"/>
      <c r="S152" s="185">
        <f t="shared" si="228"/>
        <v>100</v>
      </c>
      <c r="T152" s="186">
        <f>D152+H152+L152+P152</f>
        <v>100</v>
      </c>
      <c r="U152" s="186">
        <f t="shared" si="221"/>
        <v>0</v>
      </c>
      <c r="V152" s="230">
        <f t="shared" si="222"/>
        <v>0</v>
      </c>
    </row>
    <row r="153" spans="1:23" ht="15.75" customHeight="1" x14ac:dyDescent="0.2">
      <c r="A153" s="336" t="s">
        <v>64</v>
      </c>
      <c r="B153" s="343" t="s">
        <v>160</v>
      </c>
      <c r="C153" s="185">
        <f t="shared" si="224"/>
        <v>500</v>
      </c>
      <c r="D153" s="187">
        <v>500</v>
      </c>
      <c r="E153" s="187"/>
      <c r="F153" s="230"/>
      <c r="G153" s="221">
        <f t="shared" si="225"/>
        <v>0</v>
      </c>
      <c r="H153" s="187"/>
      <c r="I153" s="187"/>
      <c r="J153" s="327"/>
      <c r="K153" s="185">
        <f t="shared" si="226"/>
        <v>0</v>
      </c>
      <c r="L153" s="187"/>
      <c r="M153" s="187"/>
      <c r="N153" s="230"/>
      <c r="O153" s="221">
        <f t="shared" si="227"/>
        <v>0</v>
      </c>
      <c r="P153" s="192"/>
      <c r="Q153" s="192"/>
      <c r="R153" s="253"/>
      <c r="S153" s="185">
        <f t="shared" si="228"/>
        <v>500</v>
      </c>
      <c r="T153" s="186">
        <f t="shared" ref="T153:T158" si="229">D153+H153+L153+P153</f>
        <v>500</v>
      </c>
      <c r="U153" s="186">
        <f t="shared" ref="U153:U160" si="230">E153+I153+M153+Q153</f>
        <v>0</v>
      </c>
      <c r="V153" s="230">
        <f t="shared" ref="V153:V160" si="231">F153+J153+N153+R153</f>
        <v>0</v>
      </c>
    </row>
    <row r="154" spans="1:23" ht="15.75" customHeight="1" x14ac:dyDescent="0.2">
      <c r="A154" s="336" t="s">
        <v>65</v>
      </c>
      <c r="B154" s="343" t="s">
        <v>138</v>
      </c>
      <c r="C154" s="185">
        <f t="shared" si="224"/>
        <v>9300</v>
      </c>
      <c r="D154" s="187">
        <v>9300</v>
      </c>
      <c r="E154" s="187"/>
      <c r="F154" s="230"/>
      <c r="G154" s="221">
        <f t="shared" si="225"/>
        <v>0</v>
      </c>
      <c r="H154" s="187"/>
      <c r="I154" s="187"/>
      <c r="J154" s="327"/>
      <c r="K154" s="185">
        <f t="shared" si="226"/>
        <v>0</v>
      </c>
      <c r="L154" s="187"/>
      <c r="M154" s="187"/>
      <c r="N154" s="230"/>
      <c r="O154" s="221">
        <f t="shared" si="227"/>
        <v>0</v>
      </c>
      <c r="P154" s="192"/>
      <c r="Q154" s="192"/>
      <c r="R154" s="253"/>
      <c r="S154" s="185">
        <f t="shared" si="228"/>
        <v>9300</v>
      </c>
      <c r="T154" s="186">
        <f t="shared" si="229"/>
        <v>9300</v>
      </c>
      <c r="U154" s="186">
        <f t="shared" si="230"/>
        <v>0</v>
      </c>
      <c r="V154" s="300">
        <f t="shared" si="231"/>
        <v>0</v>
      </c>
      <c r="W154" s="150"/>
    </row>
    <row r="155" spans="1:23" ht="15.75" customHeight="1" x14ac:dyDescent="0.2">
      <c r="A155" s="336" t="s">
        <v>66</v>
      </c>
      <c r="B155" s="343" t="s">
        <v>161</v>
      </c>
      <c r="C155" s="185">
        <f t="shared" si="224"/>
        <v>3000</v>
      </c>
      <c r="D155" s="187">
        <v>3000</v>
      </c>
      <c r="E155" s="187"/>
      <c r="F155" s="230"/>
      <c r="G155" s="221">
        <f t="shared" si="225"/>
        <v>0</v>
      </c>
      <c r="H155" s="187"/>
      <c r="I155" s="187"/>
      <c r="J155" s="327"/>
      <c r="K155" s="185">
        <f t="shared" si="226"/>
        <v>0</v>
      </c>
      <c r="L155" s="187"/>
      <c r="M155" s="187"/>
      <c r="N155" s="230"/>
      <c r="O155" s="221">
        <f t="shared" si="227"/>
        <v>0</v>
      </c>
      <c r="P155" s="192"/>
      <c r="Q155" s="192"/>
      <c r="R155" s="253"/>
      <c r="S155" s="185">
        <f t="shared" si="228"/>
        <v>3000</v>
      </c>
      <c r="T155" s="186">
        <f t="shared" si="229"/>
        <v>3000</v>
      </c>
      <c r="U155" s="186">
        <f t="shared" si="230"/>
        <v>0</v>
      </c>
      <c r="V155" s="230">
        <f t="shared" si="231"/>
        <v>0</v>
      </c>
    </row>
    <row r="156" spans="1:23" ht="15.75" customHeight="1" x14ac:dyDescent="0.2">
      <c r="A156" s="336" t="s">
        <v>66</v>
      </c>
      <c r="B156" s="342" t="s">
        <v>155</v>
      </c>
      <c r="C156" s="185">
        <f t="shared" si="224"/>
        <v>12000</v>
      </c>
      <c r="D156" s="187">
        <v>6000</v>
      </c>
      <c r="E156" s="187"/>
      <c r="F156" s="230">
        <v>6000</v>
      </c>
      <c r="G156" s="221">
        <f t="shared" si="225"/>
        <v>0</v>
      </c>
      <c r="H156" s="187"/>
      <c r="I156" s="187"/>
      <c r="J156" s="327"/>
      <c r="K156" s="185">
        <f t="shared" si="226"/>
        <v>600</v>
      </c>
      <c r="L156" s="187">
        <v>600</v>
      </c>
      <c r="M156" s="187"/>
      <c r="N156" s="230"/>
      <c r="O156" s="221">
        <f t="shared" si="227"/>
        <v>0</v>
      </c>
      <c r="P156" s="192"/>
      <c r="Q156" s="192"/>
      <c r="R156" s="253"/>
      <c r="S156" s="185">
        <f t="shared" si="228"/>
        <v>12600</v>
      </c>
      <c r="T156" s="186">
        <f t="shared" si="229"/>
        <v>6600</v>
      </c>
      <c r="U156" s="186">
        <f t="shared" si="230"/>
        <v>0</v>
      </c>
      <c r="V156" s="300">
        <f t="shared" si="231"/>
        <v>6000</v>
      </c>
      <c r="W156" s="150"/>
    </row>
    <row r="157" spans="1:23" ht="15.75" customHeight="1" x14ac:dyDescent="0.2">
      <c r="A157" s="336" t="s">
        <v>66</v>
      </c>
      <c r="B157" s="342" t="s">
        <v>484</v>
      </c>
      <c r="C157" s="185"/>
      <c r="D157" s="187"/>
      <c r="E157" s="187"/>
      <c r="F157" s="230"/>
      <c r="G157" s="221"/>
      <c r="H157" s="187"/>
      <c r="I157" s="187"/>
      <c r="J157" s="327"/>
      <c r="K157" s="185">
        <f t="shared" si="226"/>
        <v>248.53</v>
      </c>
      <c r="L157" s="187">
        <v>248.53</v>
      </c>
      <c r="M157" s="187"/>
      <c r="N157" s="230"/>
      <c r="O157" s="221"/>
      <c r="P157" s="192"/>
      <c r="Q157" s="192"/>
      <c r="R157" s="253"/>
      <c r="S157" s="185">
        <f t="shared" ref="S157" si="232">T157+V157</f>
        <v>248.53</v>
      </c>
      <c r="T157" s="186">
        <f t="shared" si="229"/>
        <v>248.53</v>
      </c>
      <c r="U157" s="186">
        <f t="shared" si="230"/>
        <v>0</v>
      </c>
      <c r="V157" s="300">
        <f t="shared" si="231"/>
        <v>0</v>
      </c>
      <c r="W157" s="150"/>
    </row>
    <row r="158" spans="1:23" ht="15.75" customHeight="1" x14ac:dyDescent="0.2">
      <c r="A158" s="336" t="s">
        <v>66</v>
      </c>
      <c r="B158" s="343" t="s">
        <v>139</v>
      </c>
      <c r="C158" s="185">
        <f t="shared" si="224"/>
        <v>7000</v>
      </c>
      <c r="D158" s="187">
        <v>7000</v>
      </c>
      <c r="E158" s="187"/>
      <c r="F158" s="230"/>
      <c r="G158" s="221">
        <f t="shared" si="225"/>
        <v>0</v>
      </c>
      <c r="H158" s="187"/>
      <c r="I158" s="187"/>
      <c r="J158" s="327"/>
      <c r="K158" s="185">
        <f t="shared" si="226"/>
        <v>0</v>
      </c>
      <c r="L158" s="187"/>
      <c r="M158" s="187"/>
      <c r="N158" s="230"/>
      <c r="O158" s="221">
        <f t="shared" si="227"/>
        <v>0</v>
      </c>
      <c r="P158" s="192"/>
      <c r="Q158" s="192"/>
      <c r="R158" s="253"/>
      <c r="S158" s="185">
        <f t="shared" si="228"/>
        <v>7000</v>
      </c>
      <c r="T158" s="186">
        <f t="shared" si="229"/>
        <v>7000</v>
      </c>
      <c r="U158" s="186">
        <f t="shared" si="230"/>
        <v>0</v>
      </c>
      <c r="V158" s="300">
        <f t="shared" si="231"/>
        <v>0</v>
      </c>
      <c r="W158" s="150"/>
    </row>
    <row r="159" spans="1:23" ht="15.75" customHeight="1" x14ac:dyDescent="0.2">
      <c r="A159" s="336"/>
      <c r="B159" s="352" t="s">
        <v>170</v>
      </c>
      <c r="C159" s="183">
        <f t="shared" si="224"/>
        <v>18900</v>
      </c>
      <c r="D159" s="188">
        <f>SUM(D160:D166)</f>
        <v>18800</v>
      </c>
      <c r="E159" s="188">
        <f>SUM(E160:E166)</f>
        <v>0</v>
      </c>
      <c r="F159" s="252">
        <f>SUM(F160:F166)</f>
        <v>100</v>
      </c>
      <c r="G159" s="246">
        <f t="shared" si="225"/>
        <v>0</v>
      </c>
      <c r="H159" s="188">
        <f>SUM(H160:H166)</f>
        <v>0</v>
      </c>
      <c r="I159" s="188">
        <f>SUM(I160:I166)</f>
        <v>0</v>
      </c>
      <c r="J159" s="188">
        <f>SUM(J160:J166)</f>
        <v>0</v>
      </c>
      <c r="K159" s="183">
        <f t="shared" si="226"/>
        <v>975.14</v>
      </c>
      <c r="L159" s="188">
        <f>SUM(L160:L166)</f>
        <v>975.14</v>
      </c>
      <c r="M159" s="188">
        <f>SUM(M160:M166)</f>
        <v>0</v>
      </c>
      <c r="N159" s="252">
        <f>SUM(N160:N166)</f>
        <v>0</v>
      </c>
      <c r="O159" s="246">
        <f t="shared" si="227"/>
        <v>0</v>
      </c>
      <c r="P159" s="188">
        <f>SUM(P160:P166)</f>
        <v>0</v>
      </c>
      <c r="Q159" s="188">
        <f>SUM(Q160:Q166)</f>
        <v>0</v>
      </c>
      <c r="R159" s="188">
        <f>SUM(R160:R166)</f>
        <v>0</v>
      </c>
      <c r="S159" s="183">
        <f t="shared" si="228"/>
        <v>19875.14</v>
      </c>
      <c r="T159" s="184">
        <f>D159+H159+L159+P159</f>
        <v>19775.14</v>
      </c>
      <c r="U159" s="184">
        <f t="shared" si="230"/>
        <v>0</v>
      </c>
      <c r="V159" s="252">
        <f t="shared" si="231"/>
        <v>100</v>
      </c>
    </row>
    <row r="160" spans="1:23" ht="15.75" customHeight="1" x14ac:dyDescent="0.2">
      <c r="A160" s="336" t="s">
        <v>64</v>
      </c>
      <c r="B160" s="343" t="s">
        <v>319</v>
      </c>
      <c r="C160" s="185">
        <f t="shared" si="224"/>
        <v>100</v>
      </c>
      <c r="D160" s="187">
        <v>100</v>
      </c>
      <c r="E160" s="187"/>
      <c r="F160" s="230"/>
      <c r="G160" s="221">
        <f t="shared" si="225"/>
        <v>0</v>
      </c>
      <c r="H160" s="187"/>
      <c r="I160" s="187"/>
      <c r="J160" s="327"/>
      <c r="K160" s="185">
        <f t="shared" si="226"/>
        <v>0</v>
      </c>
      <c r="L160" s="187"/>
      <c r="M160" s="187"/>
      <c r="N160" s="230"/>
      <c r="O160" s="221">
        <f t="shared" si="227"/>
        <v>0</v>
      </c>
      <c r="P160" s="192"/>
      <c r="Q160" s="192"/>
      <c r="R160" s="253"/>
      <c r="S160" s="185">
        <f t="shared" si="228"/>
        <v>100</v>
      </c>
      <c r="T160" s="186">
        <f>D160+H160+L160+P160</f>
        <v>100</v>
      </c>
      <c r="U160" s="186">
        <f t="shared" si="230"/>
        <v>0</v>
      </c>
      <c r="V160" s="300">
        <f t="shared" si="231"/>
        <v>0</v>
      </c>
      <c r="W160" s="150"/>
    </row>
    <row r="161" spans="1:23" ht="15.75" customHeight="1" x14ac:dyDescent="0.2">
      <c r="A161" s="336" t="s">
        <v>64</v>
      </c>
      <c r="B161" s="343" t="s">
        <v>160</v>
      </c>
      <c r="C161" s="185">
        <f t="shared" ref="C161" si="233">D161+F161</f>
        <v>800</v>
      </c>
      <c r="D161" s="187">
        <v>800</v>
      </c>
      <c r="E161" s="187"/>
      <c r="F161" s="230"/>
      <c r="G161" s="221">
        <f t="shared" ref="G161" si="234">H161+J161</f>
        <v>0</v>
      </c>
      <c r="H161" s="187"/>
      <c r="I161" s="187"/>
      <c r="J161" s="327"/>
      <c r="K161" s="185">
        <f t="shared" ref="K161" si="235">L161+N161</f>
        <v>0</v>
      </c>
      <c r="L161" s="187"/>
      <c r="M161" s="187"/>
      <c r="N161" s="230"/>
      <c r="O161" s="221">
        <f t="shared" ref="O161" si="236">P161+R161</f>
        <v>0</v>
      </c>
      <c r="P161" s="192"/>
      <c r="Q161" s="192"/>
      <c r="R161" s="253"/>
      <c r="S161" s="185">
        <f t="shared" ref="S161" si="237">T161+V161</f>
        <v>800</v>
      </c>
      <c r="T161" s="186">
        <f t="shared" ref="T161:T166" si="238">D161+H161+L161+P161</f>
        <v>800</v>
      </c>
      <c r="U161" s="186">
        <f t="shared" ref="U161:U166" si="239">E161+I161+M161+Q161</f>
        <v>0</v>
      </c>
      <c r="V161" s="300">
        <f t="shared" ref="V161:V166" si="240">F161+J161+N161+R161</f>
        <v>0</v>
      </c>
      <c r="W161" s="150"/>
    </row>
    <row r="162" spans="1:23" ht="15.75" customHeight="1" x14ac:dyDescent="0.2">
      <c r="A162" s="336" t="s">
        <v>65</v>
      </c>
      <c r="B162" s="343" t="s">
        <v>138</v>
      </c>
      <c r="C162" s="185">
        <f t="shared" si="224"/>
        <v>6200</v>
      </c>
      <c r="D162" s="187">
        <v>6200</v>
      </c>
      <c r="E162" s="187"/>
      <c r="F162" s="230"/>
      <c r="G162" s="221">
        <f t="shared" si="225"/>
        <v>0</v>
      </c>
      <c r="H162" s="187"/>
      <c r="I162" s="187"/>
      <c r="J162" s="327"/>
      <c r="K162" s="185">
        <f t="shared" si="226"/>
        <v>0</v>
      </c>
      <c r="L162" s="187"/>
      <c r="M162" s="187"/>
      <c r="N162" s="230"/>
      <c r="O162" s="221">
        <f t="shared" si="227"/>
        <v>0</v>
      </c>
      <c r="P162" s="192"/>
      <c r="Q162" s="192"/>
      <c r="R162" s="253"/>
      <c r="S162" s="185">
        <f t="shared" si="228"/>
        <v>6200</v>
      </c>
      <c r="T162" s="186">
        <f t="shared" si="238"/>
        <v>6200</v>
      </c>
      <c r="U162" s="186">
        <f t="shared" si="239"/>
        <v>0</v>
      </c>
      <c r="V162" s="300">
        <f t="shared" si="240"/>
        <v>0</v>
      </c>
      <c r="W162" s="150"/>
    </row>
    <row r="163" spans="1:23" ht="15.75" customHeight="1" x14ac:dyDescent="0.2">
      <c r="A163" s="336" t="s">
        <v>66</v>
      </c>
      <c r="B163" s="343" t="s">
        <v>161</v>
      </c>
      <c r="C163" s="185">
        <f t="shared" ref="C163" si="241">D163+F163</f>
        <v>800</v>
      </c>
      <c r="D163" s="187">
        <v>800</v>
      </c>
      <c r="E163" s="187"/>
      <c r="F163" s="230"/>
      <c r="G163" s="221">
        <f t="shared" ref="G163" si="242">H163+J163</f>
        <v>0</v>
      </c>
      <c r="H163" s="187"/>
      <c r="I163" s="187"/>
      <c r="J163" s="327"/>
      <c r="K163" s="185">
        <f t="shared" ref="K163" si="243">L163+N163</f>
        <v>0</v>
      </c>
      <c r="L163" s="187"/>
      <c r="M163" s="187"/>
      <c r="N163" s="230"/>
      <c r="O163" s="221">
        <f t="shared" ref="O163" si="244">P163+R163</f>
        <v>0</v>
      </c>
      <c r="P163" s="192"/>
      <c r="Q163" s="192"/>
      <c r="R163" s="253"/>
      <c r="S163" s="185">
        <f t="shared" ref="S163" si="245">T163+V163</f>
        <v>800</v>
      </c>
      <c r="T163" s="186">
        <f t="shared" si="238"/>
        <v>800</v>
      </c>
      <c r="U163" s="186">
        <f t="shared" si="239"/>
        <v>0</v>
      </c>
      <c r="V163" s="300">
        <f t="shared" si="240"/>
        <v>0</v>
      </c>
      <c r="W163" s="150"/>
    </row>
    <row r="164" spans="1:23" ht="15.75" customHeight="1" x14ac:dyDescent="0.2">
      <c r="A164" s="336" t="s">
        <v>66</v>
      </c>
      <c r="B164" s="342" t="s">
        <v>155</v>
      </c>
      <c r="C164" s="185">
        <f t="shared" si="224"/>
        <v>6000</v>
      </c>
      <c r="D164" s="187">
        <v>6000</v>
      </c>
      <c r="E164" s="187"/>
      <c r="F164" s="230"/>
      <c r="G164" s="221">
        <f t="shared" si="225"/>
        <v>0</v>
      </c>
      <c r="H164" s="187"/>
      <c r="I164" s="187"/>
      <c r="J164" s="327"/>
      <c r="K164" s="185">
        <f t="shared" si="226"/>
        <v>600</v>
      </c>
      <c r="L164" s="187">
        <v>600</v>
      </c>
      <c r="M164" s="187"/>
      <c r="N164" s="230"/>
      <c r="O164" s="221">
        <f t="shared" si="227"/>
        <v>0</v>
      </c>
      <c r="P164" s="192"/>
      <c r="Q164" s="192"/>
      <c r="R164" s="253"/>
      <c r="S164" s="185">
        <f t="shared" si="228"/>
        <v>6600</v>
      </c>
      <c r="T164" s="186">
        <f t="shared" si="238"/>
        <v>6600</v>
      </c>
      <c r="U164" s="186">
        <f t="shared" si="239"/>
        <v>0</v>
      </c>
      <c r="V164" s="300">
        <f t="shared" si="240"/>
        <v>0</v>
      </c>
      <c r="W164" s="150"/>
    </row>
    <row r="165" spans="1:23" ht="15.75" customHeight="1" x14ac:dyDescent="0.2">
      <c r="A165" s="336" t="s">
        <v>66</v>
      </c>
      <c r="B165" s="342" t="s">
        <v>484</v>
      </c>
      <c r="C165" s="185"/>
      <c r="D165" s="187"/>
      <c r="E165" s="187"/>
      <c r="F165" s="230"/>
      <c r="G165" s="221"/>
      <c r="H165" s="187"/>
      <c r="I165" s="187"/>
      <c r="J165" s="327"/>
      <c r="K165" s="185">
        <f t="shared" ref="K165" si="246">L165+N165</f>
        <v>375.14</v>
      </c>
      <c r="L165" s="187">
        <v>375.14</v>
      </c>
      <c r="M165" s="187"/>
      <c r="N165" s="230"/>
      <c r="O165" s="221"/>
      <c r="P165" s="192"/>
      <c r="Q165" s="192"/>
      <c r="R165" s="253"/>
      <c r="S165" s="185">
        <f t="shared" ref="S165" si="247">T165+V165</f>
        <v>375.14</v>
      </c>
      <c r="T165" s="186">
        <f t="shared" si="238"/>
        <v>375.14</v>
      </c>
      <c r="U165" s="186">
        <f t="shared" si="239"/>
        <v>0</v>
      </c>
      <c r="V165" s="230">
        <f t="shared" si="240"/>
        <v>0</v>
      </c>
    </row>
    <row r="166" spans="1:23" ht="15.75" customHeight="1" x14ac:dyDescent="0.2">
      <c r="A166" s="336" t="s">
        <v>66</v>
      </c>
      <c r="B166" s="343" t="s">
        <v>139</v>
      </c>
      <c r="C166" s="185">
        <f t="shared" si="224"/>
        <v>5000</v>
      </c>
      <c r="D166" s="187">
        <v>4900</v>
      </c>
      <c r="E166" s="187"/>
      <c r="F166" s="230">
        <v>100</v>
      </c>
      <c r="G166" s="221">
        <f t="shared" si="225"/>
        <v>0</v>
      </c>
      <c r="H166" s="187"/>
      <c r="I166" s="187"/>
      <c r="J166" s="327"/>
      <c r="K166" s="185">
        <f t="shared" si="226"/>
        <v>0</v>
      </c>
      <c r="L166" s="187"/>
      <c r="M166" s="187"/>
      <c r="N166" s="230"/>
      <c r="O166" s="221">
        <f t="shared" si="227"/>
        <v>0</v>
      </c>
      <c r="P166" s="192"/>
      <c r="Q166" s="192"/>
      <c r="R166" s="253"/>
      <c r="S166" s="185">
        <f t="shared" si="228"/>
        <v>5000</v>
      </c>
      <c r="T166" s="186">
        <f t="shared" si="238"/>
        <v>4900</v>
      </c>
      <c r="U166" s="186">
        <f t="shared" si="239"/>
        <v>0</v>
      </c>
      <c r="V166" s="230">
        <f t="shared" si="240"/>
        <v>100</v>
      </c>
    </row>
    <row r="167" spans="1:23" ht="15.75" customHeight="1" x14ac:dyDescent="0.2">
      <c r="A167" s="336"/>
      <c r="B167" s="352" t="s">
        <v>171</v>
      </c>
      <c r="C167" s="183">
        <f t="shared" si="224"/>
        <v>34200</v>
      </c>
      <c r="D167" s="188">
        <f>SUM(D168:D174)</f>
        <v>11200</v>
      </c>
      <c r="E167" s="188">
        <f>SUM(E168:E174)</f>
        <v>0</v>
      </c>
      <c r="F167" s="252">
        <f>SUM(F168:F174)</f>
        <v>23000</v>
      </c>
      <c r="G167" s="246">
        <f t="shared" si="225"/>
        <v>0</v>
      </c>
      <c r="H167" s="188">
        <f>SUM(H168:H174)</f>
        <v>0</v>
      </c>
      <c r="I167" s="188">
        <f>SUM(I168:I174)</f>
        <v>0</v>
      </c>
      <c r="J167" s="188">
        <f>SUM(J168:J174)</f>
        <v>0</v>
      </c>
      <c r="K167" s="183">
        <f t="shared" si="226"/>
        <v>2456.7799999999997</v>
      </c>
      <c r="L167" s="188">
        <f>SUM(L168:L174)</f>
        <v>2456.7799999999997</v>
      </c>
      <c r="M167" s="188">
        <f>SUM(M168:M174)</f>
        <v>0</v>
      </c>
      <c r="N167" s="252">
        <f>SUM(N168:N174)</f>
        <v>0</v>
      </c>
      <c r="O167" s="246">
        <f t="shared" si="227"/>
        <v>0</v>
      </c>
      <c r="P167" s="188">
        <f>SUM(P168:P174)</f>
        <v>0</v>
      </c>
      <c r="Q167" s="188">
        <f>SUM(Q168:Q174)</f>
        <v>0</v>
      </c>
      <c r="R167" s="188">
        <f>SUM(R168:R174)</f>
        <v>0</v>
      </c>
      <c r="S167" s="183">
        <f t="shared" si="228"/>
        <v>36656.78</v>
      </c>
      <c r="T167" s="184">
        <f>D167+H167+L167+P167</f>
        <v>13656.779999999999</v>
      </c>
      <c r="U167" s="184">
        <f t="shared" ref="U167:V169" si="248">E167+I167+M167+Q167</f>
        <v>0</v>
      </c>
      <c r="V167" s="369">
        <f t="shared" si="248"/>
        <v>23000</v>
      </c>
      <c r="W167" s="150"/>
    </row>
    <row r="168" spans="1:23" ht="15.75" customHeight="1" x14ac:dyDescent="0.2">
      <c r="A168" s="336" t="s">
        <v>64</v>
      </c>
      <c r="B168" s="343" t="s">
        <v>319</v>
      </c>
      <c r="C168" s="185">
        <f t="shared" si="224"/>
        <v>100</v>
      </c>
      <c r="D168" s="187">
        <v>100</v>
      </c>
      <c r="E168" s="187"/>
      <c r="F168" s="230"/>
      <c r="G168" s="221">
        <f t="shared" si="225"/>
        <v>0</v>
      </c>
      <c r="H168" s="187"/>
      <c r="I168" s="187"/>
      <c r="J168" s="327"/>
      <c r="K168" s="185">
        <f t="shared" si="226"/>
        <v>0</v>
      </c>
      <c r="L168" s="187"/>
      <c r="M168" s="187"/>
      <c r="N168" s="230"/>
      <c r="O168" s="221">
        <f t="shared" si="227"/>
        <v>0</v>
      </c>
      <c r="P168" s="192"/>
      <c r="Q168" s="192"/>
      <c r="R168" s="253"/>
      <c r="S168" s="185">
        <f t="shared" si="228"/>
        <v>100</v>
      </c>
      <c r="T168" s="227">
        <f>D168+H168+L168+P168</f>
        <v>100</v>
      </c>
      <c r="U168" s="227">
        <f t="shared" si="248"/>
        <v>0</v>
      </c>
      <c r="V168" s="228">
        <f t="shared" si="248"/>
        <v>0</v>
      </c>
      <c r="W168" s="150"/>
    </row>
    <row r="169" spans="1:23" ht="15.75" customHeight="1" x14ac:dyDescent="0.2">
      <c r="A169" s="336" t="s">
        <v>64</v>
      </c>
      <c r="B169" s="343" t="s">
        <v>160</v>
      </c>
      <c r="C169" s="185">
        <f t="shared" si="224"/>
        <v>300</v>
      </c>
      <c r="D169" s="187">
        <v>300</v>
      </c>
      <c r="E169" s="187"/>
      <c r="F169" s="230"/>
      <c r="G169" s="221">
        <f t="shared" si="225"/>
        <v>0</v>
      </c>
      <c r="H169" s="187"/>
      <c r="I169" s="187"/>
      <c r="J169" s="327"/>
      <c r="K169" s="185">
        <f t="shared" si="226"/>
        <v>0</v>
      </c>
      <c r="L169" s="187"/>
      <c r="M169" s="187"/>
      <c r="N169" s="230"/>
      <c r="O169" s="221">
        <f t="shared" si="227"/>
        <v>0</v>
      </c>
      <c r="P169" s="192"/>
      <c r="Q169" s="192"/>
      <c r="R169" s="253"/>
      <c r="S169" s="185">
        <f t="shared" si="228"/>
        <v>300</v>
      </c>
      <c r="T169" s="186">
        <f t="shared" ref="T169" si="249">D169+H169+L169+P169</f>
        <v>300</v>
      </c>
      <c r="U169" s="186">
        <f t="shared" si="248"/>
        <v>0</v>
      </c>
      <c r="V169" s="230">
        <f t="shared" si="248"/>
        <v>0</v>
      </c>
    </row>
    <row r="170" spans="1:23" ht="15.75" customHeight="1" x14ac:dyDescent="0.2">
      <c r="A170" s="336" t="s">
        <v>65</v>
      </c>
      <c r="B170" s="343" t="s">
        <v>138</v>
      </c>
      <c r="C170" s="185">
        <f t="shared" si="224"/>
        <v>4000</v>
      </c>
      <c r="D170" s="187">
        <v>4000</v>
      </c>
      <c r="E170" s="187"/>
      <c r="F170" s="230"/>
      <c r="G170" s="221">
        <f t="shared" si="225"/>
        <v>0</v>
      </c>
      <c r="H170" s="187"/>
      <c r="I170" s="187"/>
      <c r="J170" s="327"/>
      <c r="K170" s="185">
        <f t="shared" si="226"/>
        <v>0</v>
      </c>
      <c r="L170" s="187"/>
      <c r="M170" s="187"/>
      <c r="N170" s="230"/>
      <c r="O170" s="221">
        <f t="shared" si="227"/>
        <v>0</v>
      </c>
      <c r="P170" s="192"/>
      <c r="Q170" s="192"/>
      <c r="R170" s="253"/>
      <c r="S170" s="185">
        <f t="shared" si="228"/>
        <v>4000</v>
      </c>
      <c r="T170" s="227">
        <f t="shared" ref="T170:T174" si="250">D170+H170+L170+P170</f>
        <v>4000</v>
      </c>
      <c r="U170" s="227">
        <f t="shared" ref="U170:U174" si="251">E170+I170+M170+Q170</f>
        <v>0</v>
      </c>
      <c r="V170" s="240">
        <f t="shared" ref="V170:V174" si="252">F170+J170+N170+R170</f>
        <v>0</v>
      </c>
    </row>
    <row r="171" spans="1:23" ht="15.75" customHeight="1" x14ac:dyDescent="0.2">
      <c r="A171" s="336" t="s">
        <v>66</v>
      </c>
      <c r="B171" s="343" t="s">
        <v>161</v>
      </c>
      <c r="C171" s="185">
        <f t="shared" si="224"/>
        <v>23300</v>
      </c>
      <c r="D171" s="187">
        <v>300</v>
      </c>
      <c r="E171" s="187"/>
      <c r="F171" s="230">
        <v>23000</v>
      </c>
      <c r="G171" s="221">
        <f t="shared" si="225"/>
        <v>0</v>
      </c>
      <c r="H171" s="187"/>
      <c r="I171" s="187"/>
      <c r="J171" s="327"/>
      <c r="K171" s="185">
        <f t="shared" si="226"/>
        <v>0</v>
      </c>
      <c r="L171" s="187"/>
      <c r="M171" s="187"/>
      <c r="N171" s="230"/>
      <c r="O171" s="221">
        <f t="shared" si="227"/>
        <v>0</v>
      </c>
      <c r="P171" s="192"/>
      <c r="Q171" s="192"/>
      <c r="R171" s="253"/>
      <c r="S171" s="185">
        <f t="shared" si="228"/>
        <v>23300</v>
      </c>
      <c r="T171" s="227">
        <f t="shared" si="250"/>
        <v>300</v>
      </c>
      <c r="U171" s="227">
        <f t="shared" si="251"/>
        <v>0</v>
      </c>
      <c r="V171" s="228">
        <f t="shared" si="252"/>
        <v>23000</v>
      </c>
      <c r="W171" s="150"/>
    </row>
    <row r="172" spans="1:23" ht="15.75" customHeight="1" x14ac:dyDescent="0.2">
      <c r="A172" s="336" t="s">
        <v>66</v>
      </c>
      <c r="B172" s="342" t="s">
        <v>155</v>
      </c>
      <c r="C172" s="185">
        <f t="shared" si="224"/>
        <v>4200</v>
      </c>
      <c r="D172" s="187">
        <v>4200</v>
      </c>
      <c r="E172" s="187"/>
      <c r="F172" s="230"/>
      <c r="G172" s="221">
        <f t="shared" si="225"/>
        <v>0</v>
      </c>
      <c r="H172" s="187"/>
      <c r="I172" s="187"/>
      <c r="J172" s="327"/>
      <c r="K172" s="185">
        <f t="shared" si="226"/>
        <v>1600</v>
      </c>
      <c r="L172" s="187">
        <v>1600</v>
      </c>
      <c r="M172" s="187"/>
      <c r="N172" s="230"/>
      <c r="O172" s="221">
        <f t="shared" si="227"/>
        <v>0</v>
      </c>
      <c r="P172" s="192"/>
      <c r="Q172" s="192"/>
      <c r="R172" s="253"/>
      <c r="S172" s="185">
        <f t="shared" si="228"/>
        <v>5800</v>
      </c>
      <c r="T172" s="227">
        <f t="shared" si="250"/>
        <v>5800</v>
      </c>
      <c r="U172" s="227">
        <f t="shared" si="251"/>
        <v>0</v>
      </c>
      <c r="V172" s="240">
        <f t="shared" si="252"/>
        <v>0</v>
      </c>
    </row>
    <row r="173" spans="1:23" ht="15.75" customHeight="1" x14ac:dyDescent="0.2">
      <c r="A173" s="336" t="s">
        <v>66</v>
      </c>
      <c r="B173" s="342" t="s">
        <v>484</v>
      </c>
      <c r="C173" s="185"/>
      <c r="D173" s="187"/>
      <c r="E173" s="187"/>
      <c r="F173" s="230"/>
      <c r="G173" s="221"/>
      <c r="H173" s="187"/>
      <c r="I173" s="187"/>
      <c r="J173" s="327"/>
      <c r="K173" s="185">
        <f t="shared" si="226"/>
        <v>856.78</v>
      </c>
      <c r="L173" s="187">
        <v>856.78</v>
      </c>
      <c r="M173" s="187"/>
      <c r="N173" s="230"/>
      <c r="O173" s="221"/>
      <c r="P173" s="192"/>
      <c r="Q173" s="192"/>
      <c r="R173" s="253"/>
      <c r="S173" s="185">
        <f t="shared" ref="S173" si="253">T173+V173</f>
        <v>856.78</v>
      </c>
      <c r="T173" s="227">
        <f t="shared" si="250"/>
        <v>856.78</v>
      </c>
      <c r="U173" s="227">
        <f t="shared" si="251"/>
        <v>0</v>
      </c>
      <c r="V173" s="240">
        <f t="shared" si="252"/>
        <v>0</v>
      </c>
    </row>
    <row r="174" spans="1:23" ht="15.75" customHeight="1" x14ac:dyDescent="0.2">
      <c r="A174" s="336" t="s">
        <v>66</v>
      </c>
      <c r="B174" s="343" t="s">
        <v>139</v>
      </c>
      <c r="C174" s="185">
        <f t="shared" si="224"/>
        <v>2300</v>
      </c>
      <c r="D174" s="187">
        <v>2300</v>
      </c>
      <c r="E174" s="187"/>
      <c r="F174" s="230"/>
      <c r="G174" s="221">
        <f t="shared" si="225"/>
        <v>0</v>
      </c>
      <c r="H174" s="187"/>
      <c r="I174" s="187"/>
      <c r="J174" s="327"/>
      <c r="K174" s="185">
        <f t="shared" si="226"/>
        <v>0</v>
      </c>
      <c r="L174" s="187"/>
      <c r="M174" s="187"/>
      <c r="N174" s="230"/>
      <c r="O174" s="221">
        <f t="shared" si="227"/>
        <v>0</v>
      </c>
      <c r="P174" s="192"/>
      <c r="Q174" s="192"/>
      <c r="R174" s="253"/>
      <c r="S174" s="185">
        <f t="shared" si="228"/>
        <v>2300</v>
      </c>
      <c r="T174" s="227">
        <f t="shared" si="250"/>
        <v>2300</v>
      </c>
      <c r="U174" s="227">
        <f t="shared" si="251"/>
        <v>0</v>
      </c>
      <c r="V174" s="228">
        <f t="shared" si="252"/>
        <v>0</v>
      </c>
      <c r="W174" s="150"/>
    </row>
    <row r="175" spans="1:23" ht="25.5" x14ac:dyDescent="0.2">
      <c r="A175" s="336"/>
      <c r="B175" s="353" t="s">
        <v>72</v>
      </c>
      <c r="C175" s="183">
        <f t="shared" si="224"/>
        <v>0</v>
      </c>
      <c r="D175" s="188"/>
      <c r="E175" s="188"/>
      <c r="F175" s="188"/>
      <c r="G175" s="183">
        <f t="shared" si="225"/>
        <v>0</v>
      </c>
      <c r="H175" s="188"/>
      <c r="I175" s="188"/>
      <c r="J175" s="188"/>
      <c r="K175" s="183">
        <f t="shared" si="226"/>
        <v>0</v>
      </c>
      <c r="L175" s="188"/>
      <c r="M175" s="188"/>
      <c r="N175" s="188"/>
      <c r="O175" s="183">
        <f t="shared" si="227"/>
        <v>54338</v>
      </c>
      <c r="P175" s="188">
        <f>SUM(P176)</f>
        <v>0</v>
      </c>
      <c r="Q175" s="188">
        <f t="shared" ref="Q175:R175" si="254">SUM(Q176)</f>
        <v>0</v>
      </c>
      <c r="R175" s="188">
        <f t="shared" si="254"/>
        <v>54338</v>
      </c>
      <c r="S175" s="183">
        <f t="shared" si="228"/>
        <v>54338</v>
      </c>
      <c r="T175" s="184">
        <f t="shared" ref="T175:T182" si="255">D175+H175+L175+P175</f>
        <v>0</v>
      </c>
      <c r="U175" s="184">
        <f t="shared" ref="U175:V176" si="256">E175+I175+M175+Q175</f>
        <v>0</v>
      </c>
      <c r="V175" s="369">
        <f t="shared" si="256"/>
        <v>54338</v>
      </c>
      <c r="W175" s="150"/>
    </row>
    <row r="176" spans="1:23" ht="27.75" customHeight="1" x14ac:dyDescent="0.2">
      <c r="A176" s="323" t="s">
        <v>67</v>
      </c>
      <c r="B176" s="345" t="s">
        <v>495</v>
      </c>
      <c r="C176" s="185">
        <f t="shared" si="224"/>
        <v>0</v>
      </c>
      <c r="D176" s="187"/>
      <c r="E176" s="187"/>
      <c r="F176" s="230"/>
      <c r="G176" s="221">
        <f t="shared" si="225"/>
        <v>0</v>
      </c>
      <c r="H176" s="186"/>
      <c r="I176" s="186"/>
      <c r="J176" s="222"/>
      <c r="K176" s="185">
        <f t="shared" si="226"/>
        <v>0</v>
      </c>
      <c r="L176" s="187"/>
      <c r="M176" s="187"/>
      <c r="N176" s="230"/>
      <c r="O176" s="221">
        <f t="shared" si="227"/>
        <v>54338</v>
      </c>
      <c r="P176" s="187"/>
      <c r="Q176" s="187"/>
      <c r="R176" s="327">
        <v>54338</v>
      </c>
      <c r="S176" s="185">
        <f t="shared" si="228"/>
        <v>54338</v>
      </c>
      <c r="T176" s="186">
        <f t="shared" si="255"/>
        <v>0</v>
      </c>
      <c r="U176" s="186">
        <f t="shared" si="256"/>
        <v>0</v>
      </c>
      <c r="V176" s="230">
        <f t="shared" si="256"/>
        <v>54338</v>
      </c>
    </row>
    <row r="177" spans="1:23" x14ac:dyDescent="0.2">
      <c r="A177" s="330"/>
      <c r="B177" s="354" t="s">
        <v>110</v>
      </c>
      <c r="C177" s="183">
        <f t="shared" si="224"/>
        <v>0</v>
      </c>
      <c r="D177" s="188"/>
      <c r="E177" s="188"/>
      <c r="F177" s="188"/>
      <c r="G177" s="183">
        <f t="shared" si="225"/>
        <v>73041.539999999994</v>
      </c>
      <c r="H177" s="188">
        <f>SUM(H178:H179)</f>
        <v>1745.64</v>
      </c>
      <c r="I177" s="188">
        <f t="shared" ref="I177:J177" si="257">SUM(I178:I179)</f>
        <v>0</v>
      </c>
      <c r="J177" s="188">
        <f t="shared" si="257"/>
        <v>71295.899999999994</v>
      </c>
      <c r="K177" s="183"/>
      <c r="L177" s="188"/>
      <c r="M177" s="188"/>
      <c r="N177" s="188"/>
      <c r="O177" s="183">
        <f t="shared" si="227"/>
        <v>26400</v>
      </c>
      <c r="P177" s="188">
        <f>SUM(P179)</f>
        <v>0</v>
      </c>
      <c r="Q177" s="188">
        <f t="shared" ref="Q177:R177" si="258">SUM(Q179)</f>
        <v>0</v>
      </c>
      <c r="R177" s="188">
        <f t="shared" si="258"/>
        <v>26400</v>
      </c>
      <c r="S177" s="183">
        <f t="shared" ref="S177:S179" si="259">T177+V177</f>
        <v>99441.54</v>
      </c>
      <c r="T177" s="184">
        <f t="shared" si="255"/>
        <v>1745.64</v>
      </c>
      <c r="U177" s="184">
        <f t="shared" ref="U177:V177" si="260">E177+I177+M177+Q177</f>
        <v>0</v>
      </c>
      <c r="V177" s="252">
        <f t="shared" si="260"/>
        <v>97695.9</v>
      </c>
    </row>
    <row r="178" spans="1:23" ht="30" customHeight="1" x14ac:dyDescent="0.2">
      <c r="A178" s="330" t="s">
        <v>68</v>
      </c>
      <c r="B178" s="409" t="s">
        <v>548</v>
      </c>
      <c r="C178" s="185">
        <f t="shared" si="224"/>
        <v>0</v>
      </c>
      <c r="D178" s="187"/>
      <c r="E178" s="187"/>
      <c r="F178" s="230"/>
      <c r="G178" s="221">
        <f t="shared" si="225"/>
        <v>73041.539999999994</v>
      </c>
      <c r="H178" s="186">
        <v>1745.64</v>
      </c>
      <c r="I178" s="186"/>
      <c r="J178" s="222">
        <v>71295.899999999994</v>
      </c>
      <c r="K178" s="185">
        <f t="shared" ref="K178" si="261">L178+N178</f>
        <v>0</v>
      </c>
      <c r="L178" s="187"/>
      <c r="M178" s="187"/>
      <c r="N178" s="230"/>
      <c r="O178" s="221">
        <f t="shared" si="227"/>
        <v>0</v>
      </c>
      <c r="P178" s="187"/>
      <c r="Q178" s="187"/>
      <c r="R178" s="327"/>
      <c r="S178" s="185">
        <f t="shared" ref="S178" si="262">T178+V178</f>
        <v>73041.539999999994</v>
      </c>
      <c r="T178" s="186">
        <f t="shared" si="255"/>
        <v>1745.64</v>
      </c>
      <c r="U178" s="186">
        <f t="shared" ref="U178:V178" si="263">E178+I178+M178+Q178</f>
        <v>0</v>
      </c>
      <c r="V178" s="300">
        <f t="shared" si="263"/>
        <v>71295.899999999994</v>
      </c>
      <c r="W178" s="150"/>
    </row>
    <row r="179" spans="1:23" ht="37.5" customHeight="1" x14ac:dyDescent="0.2">
      <c r="A179" s="330" t="s">
        <v>68</v>
      </c>
      <c r="B179" s="409" t="s">
        <v>501</v>
      </c>
      <c r="C179" s="185">
        <f t="shared" ref="C179" si="264">D179+F179</f>
        <v>0</v>
      </c>
      <c r="D179" s="187"/>
      <c r="E179" s="187"/>
      <c r="F179" s="230"/>
      <c r="G179" s="221">
        <f t="shared" ref="G179" si="265">H179+J179</f>
        <v>0</v>
      </c>
      <c r="H179" s="186"/>
      <c r="I179" s="186"/>
      <c r="J179" s="222"/>
      <c r="K179" s="185">
        <f t="shared" ref="K179" si="266">L179+N179</f>
        <v>0</v>
      </c>
      <c r="L179" s="187"/>
      <c r="M179" s="187"/>
      <c r="N179" s="230"/>
      <c r="O179" s="221">
        <f t="shared" ref="O179" si="267">P179+R179</f>
        <v>26400</v>
      </c>
      <c r="P179" s="187"/>
      <c r="Q179" s="187"/>
      <c r="R179" s="327">
        <v>26400</v>
      </c>
      <c r="S179" s="185">
        <f t="shared" si="259"/>
        <v>26400</v>
      </c>
      <c r="T179" s="186">
        <f t="shared" si="255"/>
        <v>0</v>
      </c>
      <c r="U179" s="186">
        <f t="shared" ref="U179" si="268">E179+I179+M179+Q179</f>
        <v>0</v>
      </c>
      <c r="V179" s="230">
        <f t="shared" ref="V179" si="269">F179+J179+N179+R179</f>
        <v>26400</v>
      </c>
    </row>
    <row r="180" spans="1:23" x14ac:dyDescent="0.2">
      <c r="A180" s="375"/>
      <c r="B180" s="355" t="s">
        <v>394</v>
      </c>
      <c r="C180" s="183">
        <f t="shared" si="224"/>
        <v>0</v>
      </c>
      <c r="D180" s="188"/>
      <c r="E180" s="188"/>
      <c r="F180" s="188"/>
      <c r="G180" s="183">
        <f t="shared" si="225"/>
        <v>1000</v>
      </c>
      <c r="H180" s="188">
        <f>SUM(H181:H182)</f>
        <v>1000</v>
      </c>
      <c r="I180" s="188">
        <f t="shared" ref="I180:J180" si="270">SUM(I181:I182)</f>
        <v>0</v>
      </c>
      <c r="J180" s="188">
        <f t="shared" si="270"/>
        <v>0</v>
      </c>
      <c r="K180" s="183">
        <f t="shared" si="226"/>
        <v>0</v>
      </c>
      <c r="L180" s="188"/>
      <c r="M180" s="188"/>
      <c r="N180" s="188"/>
      <c r="O180" s="183">
        <f t="shared" si="227"/>
        <v>0</v>
      </c>
      <c r="P180" s="188"/>
      <c r="Q180" s="188"/>
      <c r="R180" s="188"/>
      <c r="S180" s="183">
        <f t="shared" si="228"/>
        <v>1000</v>
      </c>
      <c r="T180" s="184">
        <f t="shared" si="255"/>
        <v>1000</v>
      </c>
      <c r="U180" s="184">
        <f t="shared" ref="U180:V180" si="271">E180+I180+M180+Q180</f>
        <v>0</v>
      </c>
      <c r="V180" s="252">
        <f t="shared" si="271"/>
        <v>0</v>
      </c>
    </row>
    <row r="181" spans="1:23" ht="27" customHeight="1" x14ac:dyDescent="0.2">
      <c r="A181" s="336" t="s">
        <v>68</v>
      </c>
      <c r="B181" s="409" t="s">
        <v>549</v>
      </c>
      <c r="C181" s="185">
        <f t="shared" si="224"/>
        <v>0</v>
      </c>
      <c r="D181" s="187"/>
      <c r="E181" s="187"/>
      <c r="F181" s="230"/>
      <c r="G181" s="221">
        <f t="shared" si="225"/>
        <v>800.76</v>
      </c>
      <c r="H181" s="186">
        <f>1000-199.24</f>
        <v>800.76</v>
      </c>
      <c r="I181" s="186"/>
      <c r="J181" s="222"/>
      <c r="K181" s="185">
        <f t="shared" si="226"/>
        <v>0</v>
      </c>
      <c r="L181" s="187"/>
      <c r="M181" s="187"/>
      <c r="N181" s="230"/>
      <c r="O181" s="221">
        <f t="shared" si="227"/>
        <v>0</v>
      </c>
      <c r="P181" s="187"/>
      <c r="Q181" s="187"/>
      <c r="R181" s="327"/>
      <c r="S181" s="185">
        <f t="shared" si="228"/>
        <v>800.76</v>
      </c>
      <c r="T181" s="186">
        <f t="shared" si="255"/>
        <v>800.76</v>
      </c>
      <c r="U181" s="186">
        <f t="shared" ref="U181:V181" si="272">E181+I181+M181+Q181</f>
        <v>0</v>
      </c>
      <c r="V181" s="300">
        <f t="shared" si="272"/>
        <v>0</v>
      </c>
      <c r="W181" s="150"/>
    </row>
    <row r="182" spans="1:23" ht="37.5" customHeight="1" thickBot="1" x14ac:dyDescent="0.25">
      <c r="A182" s="330" t="s">
        <v>68</v>
      </c>
      <c r="B182" s="410" t="s">
        <v>555</v>
      </c>
      <c r="C182" s="185">
        <f t="shared" si="224"/>
        <v>0</v>
      </c>
      <c r="D182" s="187"/>
      <c r="E182" s="187"/>
      <c r="F182" s="230"/>
      <c r="G182" s="221">
        <f t="shared" si="225"/>
        <v>199.24</v>
      </c>
      <c r="H182" s="186">
        <v>199.24</v>
      </c>
      <c r="I182" s="186"/>
      <c r="J182" s="222"/>
      <c r="K182" s="185">
        <f t="shared" si="226"/>
        <v>0</v>
      </c>
      <c r="L182" s="187"/>
      <c r="M182" s="187"/>
      <c r="N182" s="230"/>
      <c r="O182" s="221">
        <f t="shared" si="227"/>
        <v>0</v>
      </c>
      <c r="P182" s="187"/>
      <c r="Q182" s="187"/>
      <c r="R182" s="327"/>
      <c r="S182" s="185">
        <f t="shared" si="228"/>
        <v>199.24</v>
      </c>
      <c r="T182" s="186">
        <f t="shared" si="255"/>
        <v>199.24</v>
      </c>
      <c r="U182" s="186">
        <f t="shared" ref="U182" si="273">E182+I182+M182+Q182</f>
        <v>0</v>
      </c>
      <c r="V182" s="296">
        <f t="shared" ref="V182" si="274">F182+J182+N182+R182</f>
        <v>0</v>
      </c>
    </row>
    <row r="183" spans="1:23" ht="16.5" customHeight="1" thickBot="1" x14ac:dyDescent="0.25">
      <c r="A183" s="404"/>
      <c r="B183" s="331" t="s">
        <v>172</v>
      </c>
      <c r="C183" s="272">
        <f>D183+F183</f>
        <v>2717932.02</v>
      </c>
      <c r="D183" s="196">
        <f>SUM(D34,D36,D85,D93,D102,D111,D119,D127,D136,D145,D151,D159,D167,D175,D177,D180)</f>
        <v>2205424.02</v>
      </c>
      <c r="E183" s="196">
        <f>SUM(E34,E36,E85,E93,E102,E111,E119,E127,E136,E145,E151,E159,E167,E175,E177,E180)</f>
        <v>605610</v>
      </c>
      <c r="F183" s="196">
        <f>SUM(F34,F36,F85,F93,F102,F111,F119,F127,F136,F145,F151,F159,F167,F175,F177,F180)</f>
        <v>512508</v>
      </c>
      <c r="G183" s="195">
        <f>H183+J183</f>
        <v>1037392.2</v>
      </c>
      <c r="H183" s="196">
        <f>SUM(H34,H36,H85,H93,H102,H111,H119,H127,H136,H145,H151,H159,H167,H175,H177,H180)</f>
        <v>248102.33000000002</v>
      </c>
      <c r="I183" s="196">
        <f>SUM(I34,I36,I85,I93,I102,I111,I119,I127,I136,I145,I151,I159,I167,I175,I177,I180)</f>
        <v>26347.3</v>
      </c>
      <c r="J183" s="196">
        <f>SUM(J34,J36,J85,J93,J102,J111,J119,J127,J136,J145,J151,J159,J167,J175,J177,J180)</f>
        <v>789289.87</v>
      </c>
      <c r="K183" s="195">
        <f>L183+N183</f>
        <v>75164.62999999999</v>
      </c>
      <c r="L183" s="196">
        <f>SUM(L34,L36,L85,L93,L102,L111,L119,L127,L136,L145,L151,L159,L167,L175,L177,L180)</f>
        <v>75164.62999999999</v>
      </c>
      <c r="M183" s="196">
        <f>SUM(M34,M36,M85,M93,M102,M111,M119,M127,M136,M145,M151,M159,M167,M175,M177,M180)</f>
        <v>0</v>
      </c>
      <c r="N183" s="196">
        <f>SUM(N34,N36,N85,N93,N102,N111,N119,N127,N136,N145,N151,N159,N167,N175,N177,N180)</f>
        <v>0</v>
      </c>
      <c r="O183" s="195">
        <f>P183+R183</f>
        <v>898403.12</v>
      </c>
      <c r="P183" s="196">
        <f>SUM(P34,P36,P85,P93,P102,P111,P119,P127,P136,P145,P151,P159,P167,P175,P177,P180)</f>
        <v>0</v>
      </c>
      <c r="Q183" s="196">
        <f>SUM(Q34,Q36,Q85,Q93,Q102,Q111,Q119,Q127,Q136,Q145,Q151,Q159,Q167,Q175,Q177,Q180)</f>
        <v>0</v>
      </c>
      <c r="R183" s="196">
        <f>SUM(R34,R36,R85,R93,R102,R111,R119,R127,R136,R145,R151,R159,R167,R175,R177,R180)</f>
        <v>898403.12</v>
      </c>
      <c r="S183" s="195">
        <f>T183+V183</f>
        <v>4728891.9699999988</v>
      </c>
      <c r="T183" s="196">
        <f>SUM(T34,T36,T85,T93,T102,T111,T119,T127,T136,T145,T151,T159,T167,T175,T177,T180)</f>
        <v>2528690.9799999991</v>
      </c>
      <c r="U183" s="196">
        <f>SUM(U34,U36,U85,U93,U102,U111,U119,U127,U136,U145,U151,U159,U167,U175,U177,U180)</f>
        <v>631957.30000000005</v>
      </c>
      <c r="V183" s="267">
        <f>SUM(V34,V36,V85,V93,V102,V111,V119,V127,V136,V145,V151,V159,V167,V175,V177,V180)</f>
        <v>2200200.9899999998</v>
      </c>
      <c r="W183" s="150"/>
    </row>
    <row r="184" spans="1:23" ht="15.75" customHeight="1" thickBot="1" x14ac:dyDescent="0.25">
      <c r="A184" s="501" t="s">
        <v>174</v>
      </c>
      <c r="B184" s="502"/>
      <c r="C184" s="502"/>
      <c r="D184" s="502"/>
      <c r="E184" s="502"/>
      <c r="F184" s="502"/>
      <c r="G184" s="502"/>
      <c r="H184" s="502"/>
      <c r="I184" s="502"/>
      <c r="J184" s="502"/>
      <c r="K184" s="502"/>
      <c r="L184" s="502"/>
      <c r="M184" s="502"/>
      <c r="N184" s="502"/>
      <c r="O184" s="502"/>
      <c r="P184" s="502"/>
      <c r="Q184" s="502"/>
      <c r="R184" s="502"/>
      <c r="S184" s="502"/>
      <c r="T184" s="502"/>
      <c r="U184" s="502"/>
      <c r="V184" s="503"/>
    </row>
    <row r="185" spans="1:23" x14ac:dyDescent="0.2">
      <c r="A185" s="323"/>
      <c r="B185" s="324" t="s">
        <v>134</v>
      </c>
      <c r="C185" s="183">
        <f>D185+F185</f>
        <v>122300</v>
      </c>
      <c r="D185" s="184">
        <f>SUM(D186:D193)</f>
        <v>99300</v>
      </c>
      <c r="E185" s="184">
        <f>SUM(E186:E193)</f>
        <v>0</v>
      </c>
      <c r="F185" s="275">
        <f>SUM(F186:F193)</f>
        <v>23000</v>
      </c>
      <c r="G185" s="231">
        <f>H185+J185</f>
        <v>0</v>
      </c>
      <c r="H185" s="232">
        <f>SUM(H186:H193)</f>
        <v>0</v>
      </c>
      <c r="I185" s="232">
        <f>SUM(I186:I193)</f>
        <v>0</v>
      </c>
      <c r="J185" s="335">
        <f>SUM(J186:J193)</f>
        <v>0</v>
      </c>
      <c r="K185" s="183">
        <f>L185+N185</f>
        <v>2000</v>
      </c>
      <c r="L185" s="184">
        <f>SUM(L186:L193)</f>
        <v>2000</v>
      </c>
      <c r="M185" s="184">
        <f>SUM(M186:M193)</f>
        <v>0</v>
      </c>
      <c r="N185" s="275">
        <f>SUM(N186:N193)</f>
        <v>0</v>
      </c>
      <c r="O185" s="231">
        <f>P185+R185</f>
        <v>15000</v>
      </c>
      <c r="P185" s="232">
        <f>SUM(P186:P193)</f>
        <v>0</v>
      </c>
      <c r="Q185" s="232">
        <f>SUM(Q186:Q193)</f>
        <v>0</v>
      </c>
      <c r="R185" s="335">
        <f>SUM(R186:R193)</f>
        <v>15000</v>
      </c>
      <c r="S185" s="231">
        <f t="shared" ref="S185:S233" si="275">T185+V185</f>
        <v>139300</v>
      </c>
      <c r="T185" s="232">
        <f>D185+H185+L185+P185</f>
        <v>101300</v>
      </c>
      <c r="U185" s="232">
        <f t="shared" ref="U185:V186" si="276">E185+I185+M185+Q185</f>
        <v>0</v>
      </c>
      <c r="V185" s="335">
        <f t="shared" si="276"/>
        <v>38000</v>
      </c>
      <c r="W185" s="150"/>
    </row>
    <row r="186" spans="1:23" ht="18" customHeight="1" x14ac:dyDescent="0.2">
      <c r="A186" s="325" t="s">
        <v>62</v>
      </c>
      <c r="B186" s="356" t="s">
        <v>305</v>
      </c>
      <c r="C186" s="185">
        <f t="shared" ref="C186:C233" si="277">D186+F186</f>
        <v>8000</v>
      </c>
      <c r="D186" s="187">
        <v>8000</v>
      </c>
      <c r="E186" s="187"/>
      <c r="F186" s="327"/>
      <c r="G186" s="185">
        <f t="shared" ref="G186:G191" si="278">H186+J186</f>
        <v>0</v>
      </c>
      <c r="H186" s="187"/>
      <c r="I186" s="187"/>
      <c r="J186" s="230"/>
      <c r="K186" s="185">
        <f t="shared" ref="K186:K233" si="279">L186+N186</f>
        <v>0</v>
      </c>
      <c r="L186" s="187"/>
      <c r="M186" s="187"/>
      <c r="N186" s="327"/>
      <c r="O186" s="185">
        <f t="shared" ref="O186:O191" si="280">P186+R186</f>
        <v>0</v>
      </c>
      <c r="P186" s="187"/>
      <c r="Q186" s="187"/>
      <c r="R186" s="230"/>
      <c r="S186" s="185">
        <f t="shared" si="275"/>
        <v>8000</v>
      </c>
      <c r="T186" s="186">
        <f>D186+H186+L186+P186</f>
        <v>8000</v>
      </c>
      <c r="U186" s="186">
        <f t="shared" si="276"/>
        <v>0</v>
      </c>
      <c r="V186" s="300">
        <f t="shared" si="276"/>
        <v>0</v>
      </c>
      <c r="W186" s="150"/>
    </row>
    <row r="187" spans="1:23" ht="26.25" customHeight="1" x14ac:dyDescent="0.2">
      <c r="A187" s="325" t="s">
        <v>67</v>
      </c>
      <c r="B187" s="326" t="s">
        <v>177</v>
      </c>
      <c r="C187" s="185">
        <f t="shared" ref="C187" si="281">D187+F187</f>
        <v>36600</v>
      </c>
      <c r="D187" s="187">
        <v>36600</v>
      </c>
      <c r="E187" s="187"/>
      <c r="F187" s="327"/>
      <c r="G187" s="185">
        <f t="shared" ref="G187" si="282">H187+J187</f>
        <v>0</v>
      </c>
      <c r="H187" s="187"/>
      <c r="I187" s="187"/>
      <c r="J187" s="230"/>
      <c r="K187" s="185">
        <f t="shared" ref="K187" si="283">L187+N187</f>
        <v>2000</v>
      </c>
      <c r="L187" s="187">
        <v>2000</v>
      </c>
      <c r="M187" s="187"/>
      <c r="N187" s="327"/>
      <c r="O187" s="185">
        <f t="shared" ref="O187" si="284">P187+R187</f>
        <v>0</v>
      </c>
      <c r="P187" s="187"/>
      <c r="Q187" s="187"/>
      <c r="R187" s="230"/>
      <c r="S187" s="185">
        <f t="shared" ref="S187" si="285">T187+V187</f>
        <v>38600</v>
      </c>
      <c r="T187" s="186">
        <f t="shared" ref="T187:T193" si="286">D187+H187+L187+P187</f>
        <v>38600</v>
      </c>
      <c r="U187" s="186">
        <f t="shared" ref="U187:U193" si="287">E187+I187+M187+Q187</f>
        <v>0</v>
      </c>
      <c r="V187" s="300">
        <f t="shared" ref="V187:V193" si="288">F187+J187+N187+R187</f>
        <v>0</v>
      </c>
      <c r="W187" s="150"/>
    </row>
    <row r="188" spans="1:23" ht="36.75" customHeight="1" x14ac:dyDescent="0.2">
      <c r="A188" s="328" t="s">
        <v>67</v>
      </c>
      <c r="B188" s="326" t="s">
        <v>561</v>
      </c>
      <c r="C188" s="185"/>
      <c r="D188" s="187"/>
      <c r="E188" s="187"/>
      <c r="F188" s="327"/>
      <c r="G188" s="185"/>
      <c r="H188" s="187"/>
      <c r="I188" s="187"/>
      <c r="J188" s="230"/>
      <c r="K188" s="185"/>
      <c r="L188" s="187"/>
      <c r="M188" s="187"/>
      <c r="N188" s="327"/>
      <c r="O188" s="185">
        <f t="shared" ref="O188" si="289">P188+R188</f>
        <v>15000</v>
      </c>
      <c r="P188" s="187"/>
      <c r="Q188" s="187"/>
      <c r="R188" s="230">
        <v>15000</v>
      </c>
      <c r="S188" s="185">
        <f t="shared" ref="S188" si="290">T188+V188</f>
        <v>15000</v>
      </c>
      <c r="T188" s="186">
        <f t="shared" ref="T188" si="291">D188+H188+L188+P188</f>
        <v>0</v>
      </c>
      <c r="U188" s="186">
        <f t="shared" ref="U188" si="292">E188+I188+M188+Q188</f>
        <v>0</v>
      </c>
      <c r="V188" s="300">
        <f t="shared" ref="V188" si="293">F188+J188+N188+R188</f>
        <v>15000</v>
      </c>
      <c r="W188" s="150"/>
    </row>
    <row r="189" spans="1:23" ht="15.75" customHeight="1" x14ac:dyDescent="0.2">
      <c r="A189" s="328" t="s">
        <v>67</v>
      </c>
      <c r="B189" s="326" t="s">
        <v>178</v>
      </c>
      <c r="C189" s="185">
        <f t="shared" si="277"/>
        <v>5200</v>
      </c>
      <c r="D189" s="187">
        <v>5200</v>
      </c>
      <c r="E189" s="187"/>
      <c r="F189" s="327"/>
      <c r="G189" s="185">
        <f t="shared" si="278"/>
        <v>0</v>
      </c>
      <c r="H189" s="187"/>
      <c r="I189" s="187"/>
      <c r="J189" s="230"/>
      <c r="K189" s="185">
        <f t="shared" si="279"/>
        <v>0</v>
      </c>
      <c r="L189" s="187"/>
      <c r="M189" s="187"/>
      <c r="N189" s="327"/>
      <c r="O189" s="185">
        <f t="shared" si="280"/>
        <v>0</v>
      </c>
      <c r="P189" s="187"/>
      <c r="Q189" s="187"/>
      <c r="R189" s="230"/>
      <c r="S189" s="185">
        <f t="shared" si="275"/>
        <v>5200</v>
      </c>
      <c r="T189" s="186">
        <f t="shared" si="286"/>
        <v>5200</v>
      </c>
      <c r="U189" s="186">
        <f t="shared" si="287"/>
        <v>0</v>
      </c>
      <c r="V189" s="300">
        <f t="shared" si="288"/>
        <v>0</v>
      </c>
      <c r="W189" s="150"/>
    </row>
    <row r="190" spans="1:23" ht="13.5" customHeight="1" x14ac:dyDescent="0.2">
      <c r="A190" s="328" t="s">
        <v>67</v>
      </c>
      <c r="B190" s="326" t="s">
        <v>179</v>
      </c>
      <c r="C190" s="185">
        <f t="shared" si="277"/>
        <v>42000</v>
      </c>
      <c r="D190" s="187">
        <v>42000</v>
      </c>
      <c r="E190" s="187"/>
      <c r="F190" s="327"/>
      <c r="G190" s="185">
        <f t="shared" si="278"/>
        <v>0</v>
      </c>
      <c r="H190" s="187"/>
      <c r="I190" s="187"/>
      <c r="J190" s="230"/>
      <c r="K190" s="185">
        <f t="shared" si="279"/>
        <v>0</v>
      </c>
      <c r="L190" s="187"/>
      <c r="M190" s="187"/>
      <c r="N190" s="327"/>
      <c r="O190" s="185">
        <f t="shared" si="280"/>
        <v>0</v>
      </c>
      <c r="P190" s="187"/>
      <c r="Q190" s="187"/>
      <c r="R190" s="230"/>
      <c r="S190" s="185">
        <f t="shared" si="275"/>
        <v>42000</v>
      </c>
      <c r="T190" s="186">
        <f t="shared" si="286"/>
        <v>42000</v>
      </c>
      <c r="U190" s="186">
        <f t="shared" si="287"/>
        <v>0</v>
      </c>
      <c r="V190" s="230">
        <f t="shared" si="288"/>
        <v>0</v>
      </c>
    </row>
    <row r="191" spans="1:23" ht="14.25" customHeight="1" x14ac:dyDescent="0.2">
      <c r="A191" s="328" t="s">
        <v>67</v>
      </c>
      <c r="B191" s="326" t="s">
        <v>180</v>
      </c>
      <c r="C191" s="185">
        <f t="shared" si="277"/>
        <v>500</v>
      </c>
      <c r="D191" s="187">
        <v>500</v>
      </c>
      <c r="E191" s="187"/>
      <c r="F191" s="327"/>
      <c r="G191" s="185">
        <f t="shared" si="278"/>
        <v>0</v>
      </c>
      <c r="H191" s="187"/>
      <c r="I191" s="187"/>
      <c r="J191" s="230"/>
      <c r="K191" s="185">
        <f t="shared" si="279"/>
        <v>0</v>
      </c>
      <c r="L191" s="187"/>
      <c r="M191" s="187"/>
      <c r="N191" s="327"/>
      <c r="O191" s="185">
        <f t="shared" si="280"/>
        <v>0</v>
      </c>
      <c r="P191" s="187"/>
      <c r="Q191" s="187"/>
      <c r="R191" s="230"/>
      <c r="S191" s="185">
        <f t="shared" si="275"/>
        <v>500</v>
      </c>
      <c r="T191" s="186">
        <f t="shared" si="286"/>
        <v>500</v>
      </c>
      <c r="U191" s="186">
        <f t="shared" si="287"/>
        <v>0</v>
      </c>
      <c r="V191" s="300">
        <f t="shared" si="288"/>
        <v>0</v>
      </c>
      <c r="W191" s="150"/>
    </row>
    <row r="192" spans="1:23" ht="14.25" customHeight="1" x14ac:dyDescent="0.2">
      <c r="A192" s="328" t="s">
        <v>67</v>
      </c>
      <c r="B192" s="326" t="s">
        <v>404</v>
      </c>
      <c r="C192" s="185">
        <f t="shared" ref="C192" si="294">D192+F192</f>
        <v>23000</v>
      </c>
      <c r="D192" s="187"/>
      <c r="E192" s="187"/>
      <c r="F192" s="327">
        <v>23000</v>
      </c>
      <c r="G192" s="185">
        <f t="shared" ref="G192" si="295">H192+J192</f>
        <v>0</v>
      </c>
      <c r="H192" s="187"/>
      <c r="I192" s="187"/>
      <c r="J192" s="230"/>
      <c r="K192" s="185">
        <f t="shared" ref="K192" si="296">L192+N192</f>
        <v>0</v>
      </c>
      <c r="L192" s="187"/>
      <c r="M192" s="187"/>
      <c r="N192" s="327"/>
      <c r="O192" s="185">
        <f t="shared" ref="O192" si="297">P192+R192</f>
        <v>0</v>
      </c>
      <c r="P192" s="187"/>
      <c r="Q192" s="187"/>
      <c r="R192" s="230"/>
      <c r="S192" s="185">
        <f t="shared" ref="S192" si="298">T192+V192</f>
        <v>23000</v>
      </c>
      <c r="T192" s="186">
        <f t="shared" ref="T192" si="299">D192+H192+L192+P192</f>
        <v>0</v>
      </c>
      <c r="U192" s="186">
        <f t="shared" ref="U192" si="300">E192+I192+M192+Q192</f>
        <v>0</v>
      </c>
      <c r="V192" s="300">
        <f t="shared" ref="V192" si="301">F192+J192+N192+R192</f>
        <v>23000</v>
      </c>
      <c r="W192" s="150"/>
    </row>
    <row r="193" spans="1:23" x14ac:dyDescent="0.2">
      <c r="A193" s="330" t="s">
        <v>69</v>
      </c>
      <c r="B193" s="357" t="s">
        <v>295</v>
      </c>
      <c r="C193" s="185">
        <f t="shared" si="277"/>
        <v>7000</v>
      </c>
      <c r="D193" s="187">
        <v>7000</v>
      </c>
      <c r="E193" s="187"/>
      <c r="F193" s="327"/>
      <c r="G193" s="185">
        <f>H193+J193</f>
        <v>0</v>
      </c>
      <c r="H193" s="187"/>
      <c r="I193" s="187"/>
      <c r="J193" s="230"/>
      <c r="K193" s="185">
        <f t="shared" si="279"/>
        <v>0</v>
      </c>
      <c r="L193" s="187"/>
      <c r="M193" s="187"/>
      <c r="N193" s="327"/>
      <c r="O193" s="185">
        <f>P193+R193</f>
        <v>0</v>
      </c>
      <c r="P193" s="187"/>
      <c r="Q193" s="187"/>
      <c r="R193" s="230"/>
      <c r="S193" s="185">
        <f t="shared" si="275"/>
        <v>7000</v>
      </c>
      <c r="T193" s="186">
        <f t="shared" si="286"/>
        <v>7000</v>
      </c>
      <c r="U193" s="186">
        <f t="shared" si="287"/>
        <v>0</v>
      </c>
      <c r="V193" s="300">
        <f t="shared" si="288"/>
        <v>0</v>
      </c>
      <c r="W193" s="150"/>
    </row>
    <row r="194" spans="1:23" x14ac:dyDescent="0.2">
      <c r="A194" s="336"/>
      <c r="B194" s="358" t="s">
        <v>477</v>
      </c>
      <c r="C194" s="183">
        <f t="shared" si="277"/>
        <v>450400</v>
      </c>
      <c r="D194" s="188">
        <f>SUM(D195:D197)</f>
        <v>450400</v>
      </c>
      <c r="E194" s="188">
        <f>SUM(E195:E197)</f>
        <v>378000</v>
      </c>
      <c r="F194" s="188">
        <f>SUM(F195:F197)</f>
        <v>0</v>
      </c>
      <c r="G194" s="183">
        <f t="shared" ref="G194:G233" si="302">H194+J194</f>
        <v>6473</v>
      </c>
      <c r="H194" s="188">
        <f>SUM(H195:H197)</f>
        <v>6473</v>
      </c>
      <c r="I194" s="188">
        <f>SUM(I195:I197)</f>
        <v>6380</v>
      </c>
      <c r="J194" s="188">
        <f>SUM(J195:J197)</f>
        <v>0</v>
      </c>
      <c r="K194" s="183">
        <f t="shared" si="279"/>
        <v>15028.48</v>
      </c>
      <c r="L194" s="188">
        <f>SUM(L195:L197)</f>
        <v>15028.48</v>
      </c>
      <c r="M194" s="188">
        <f>SUM(M195:M197)</f>
        <v>0</v>
      </c>
      <c r="N194" s="188">
        <f>SUM(N195:N197)</f>
        <v>0</v>
      </c>
      <c r="O194" s="183">
        <f t="shared" ref="O194:O233" si="303">P194+R194</f>
        <v>0</v>
      </c>
      <c r="P194" s="188">
        <f>SUM(P195:P197)</f>
        <v>0</v>
      </c>
      <c r="Q194" s="188">
        <f>SUM(Q195:Q197)</f>
        <v>0</v>
      </c>
      <c r="R194" s="188">
        <f>SUM(R195:R197)</f>
        <v>0</v>
      </c>
      <c r="S194" s="183">
        <f t="shared" si="275"/>
        <v>471901.48</v>
      </c>
      <c r="T194" s="184">
        <f>D194+H194+L194+P194</f>
        <v>471901.48</v>
      </c>
      <c r="U194" s="184">
        <f t="shared" ref="U194:V194" si="304">E194+I194+M194+Q194</f>
        <v>384380</v>
      </c>
      <c r="V194" s="369">
        <f t="shared" si="304"/>
        <v>0</v>
      </c>
      <c r="W194" s="150"/>
    </row>
    <row r="195" spans="1:23" x14ac:dyDescent="0.2">
      <c r="A195" s="323" t="s">
        <v>67</v>
      </c>
      <c r="B195" s="342" t="s">
        <v>182</v>
      </c>
      <c r="C195" s="185">
        <f t="shared" si="277"/>
        <v>443927</v>
      </c>
      <c r="D195" s="187">
        <f>450400-6473</f>
        <v>443927</v>
      </c>
      <c r="E195" s="187">
        <f>378000-6380</f>
        <v>371620</v>
      </c>
      <c r="F195" s="327"/>
      <c r="G195" s="185">
        <f t="shared" si="302"/>
        <v>0</v>
      </c>
      <c r="H195" s="187"/>
      <c r="I195" s="187"/>
      <c r="J195" s="327"/>
      <c r="K195" s="185">
        <f t="shared" si="279"/>
        <v>15000</v>
      </c>
      <c r="L195" s="187">
        <v>15000</v>
      </c>
      <c r="M195" s="187"/>
      <c r="N195" s="327"/>
      <c r="O195" s="183">
        <f t="shared" si="303"/>
        <v>0</v>
      </c>
      <c r="P195" s="187"/>
      <c r="Q195" s="187"/>
      <c r="R195" s="327"/>
      <c r="S195" s="185">
        <f t="shared" si="275"/>
        <v>458927</v>
      </c>
      <c r="T195" s="186">
        <f>D195+H195+L195+P195</f>
        <v>458927</v>
      </c>
      <c r="U195" s="186">
        <f t="shared" ref="U195:V195" si="305">E195+I195+M195+Q195</f>
        <v>371620</v>
      </c>
      <c r="V195" s="300">
        <f t="shared" si="305"/>
        <v>0</v>
      </c>
      <c r="W195" s="150"/>
    </row>
    <row r="196" spans="1:23" ht="25.5" x14ac:dyDescent="0.2">
      <c r="A196" s="323" t="s">
        <v>67</v>
      </c>
      <c r="B196" s="347" t="s">
        <v>490</v>
      </c>
      <c r="C196" s="185">
        <f t="shared" si="277"/>
        <v>6473</v>
      </c>
      <c r="D196" s="187">
        <v>6473</v>
      </c>
      <c r="E196" s="187">
        <v>6380</v>
      </c>
      <c r="F196" s="327"/>
      <c r="G196" s="185">
        <f t="shared" si="302"/>
        <v>6473</v>
      </c>
      <c r="H196" s="187">
        <v>6473</v>
      </c>
      <c r="I196" s="187">
        <v>6380</v>
      </c>
      <c r="J196" s="327"/>
      <c r="K196" s="185"/>
      <c r="L196" s="187"/>
      <c r="M196" s="187"/>
      <c r="N196" s="327"/>
      <c r="O196" s="183"/>
      <c r="P196" s="187"/>
      <c r="Q196" s="187"/>
      <c r="R196" s="327"/>
      <c r="S196" s="185">
        <f t="shared" si="275"/>
        <v>12946</v>
      </c>
      <c r="T196" s="186">
        <f t="shared" ref="T196:T197" si="306">D196+H196+L196+P196</f>
        <v>12946</v>
      </c>
      <c r="U196" s="186">
        <f t="shared" ref="U196:U199" si="307">E196+I196+M196+Q196</f>
        <v>12760</v>
      </c>
      <c r="V196" s="300">
        <f t="shared" ref="V196:V199" si="308">F196+J196+N196+R196</f>
        <v>0</v>
      </c>
      <c r="W196" s="233"/>
    </row>
    <row r="197" spans="1:23" x14ac:dyDescent="0.2">
      <c r="A197" s="323" t="s">
        <v>67</v>
      </c>
      <c r="B197" s="342" t="s">
        <v>484</v>
      </c>
      <c r="C197" s="185"/>
      <c r="D197" s="187"/>
      <c r="E197" s="187"/>
      <c r="F197" s="327"/>
      <c r="G197" s="185"/>
      <c r="H197" s="187"/>
      <c r="I197" s="187"/>
      <c r="J197" s="327"/>
      <c r="K197" s="185">
        <f t="shared" si="279"/>
        <v>28.48</v>
      </c>
      <c r="L197" s="187">
        <v>28.48</v>
      </c>
      <c r="M197" s="187"/>
      <c r="N197" s="327"/>
      <c r="O197" s="183"/>
      <c r="P197" s="187"/>
      <c r="Q197" s="187"/>
      <c r="R197" s="327"/>
      <c r="S197" s="185">
        <f t="shared" si="275"/>
        <v>28.48</v>
      </c>
      <c r="T197" s="186">
        <f t="shared" si="306"/>
        <v>28.48</v>
      </c>
      <c r="U197" s="186">
        <f t="shared" si="307"/>
        <v>0</v>
      </c>
      <c r="V197" s="300">
        <f t="shared" si="308"/>
        <v>0</v>
      </c>
      <c r="W197" s="150"/>
    </row>
    <row r="198" spans="1:23" x14ac:dyDescent="0.2">
      <c r="A198" s="323"/>
      <c r="B198" s="353" t="s">
        <v>410</v>
      </c>
      <c r="C198" s="183">
        <f t="shared" si="277"/>
        <v>246700</v>
      </c>
      <c r="D198" s="188">
        <f>SUM(D199:D200)</f>
        <v>246700</v>
      </c>
      <c r="E198" s="188">
        <f t="shared" ref="E198:F198" si="309">SUM(E199:E200)</f>
        <v>205500</v>
      </c>
      <c r="F198" s="188">
        <f t="shared" si="309"/>
        <v>0</v>
      </c>
      <c r="G198" s="183">
        <f t="shared" si="302"/>
        <v>2919</v>
      </c>
      <c r="H198" s="188">
        <f>SUM(H199:H200)</f>
        <v>2919</v>
      </c>
      <c r="I198" s="188">
        <f t="shared" ref="I198" si="310">SUM(I199:I200)</f>
        <v>2880</v>
      </c>
      <c r="J198" s="188">
        <f t="shared" ref="J198" si="311">SUM(J199:J200)</f>
        <v>0</v>
      </c>
      <c r="K198" s="183">
        <f t="shared" si="279"/>
        <v>4000</v>
      </c>
      <c r="L198" s="188">
        <f>SUM(L199:L200)</f>
        <v>4000</v>
      </c>
      <c r="M198" s="188">
        <f t="shared" ref="M198" si="312">SUM(M199:M200)</f>
        <v>0</v>
      </c>
      <c r="N198" s="188">
        <f t="shared" ref="N198" si="313">SUM(N199:N200)</f>
        <v>0</v>
      </c>
      <c r="O198" s="183">
        <f t="shared" si="303"/>
        <v>0</v>
      </c>
      <c r="P198" s="188"/>
      <c r="Q198" s="188"/>
      <c r="R198" s="188"/>
      <c r="S198" s="183">
        <f t="shared" si="275"/>
        <v>253619</v>
      </c>
      <c r="T198" s="184">
        <f>D198+H198+L198+P198</f>
        <v>253619</v>
      </c>
      <c r="U198" s="184">
        <f t="shared" si="307"/>
        <v>208380</v>
      </c>
      <c r="V198" s="369">
        <f t="shared" si="308"/>
        <v>0</v>
      </c>
      <c r="W198" s="150"/>
    </row>
    <row r="199" spans="1:23" x14ac:dyDescent="0.2">
      <c r="A199" s="323" t="s">
        <v>67</v>
      </c>
      <c r="B199" s="342" t="s">
        <v>182</v>
      </c>
      <c r="C199" s="183">
        <f t="shared" si="277"/>
        <v>243781</v>
      </c>
      <c r="D199" s="187">
        <f>246700-2919</f>
        <v>243781</v>
      </c>
      <c r="E199" s="187">
        <f>205500-2880</f>
        <v>202620</v>
      </c>
      <c r="F199" s="327"/>
      <c r="G199" s="185">
        <f t="shared" ref="G199:G200" si="314">H199+J199</f>
        <v>0</v>
      </c>
      <c r="H199" s="187"/>
      <c r="I199" s="187"/>
      <c r="J199" s="327"/>
      <c r="K199" s="185">
        <f t="shared" ref="K199" si="315">L199+N199</f>
        <v>4000</v>
      </c>
      <c r="L199" s="187">
        <v>4000</v>
      </c>
      <c r="M199" s="187"/>
      <c r="N199" s="327"/>
      <c r="O199" s="183">
        <f t="shared" ref="O199" si="316">P199+R199</f>
        <v>0</v>
      </c>
      <c r="P199" s="187"/>
      <c r="Q199" s="187"/>
      <c r="R199" s="327"/>
      <c r="S199" s="185">
        <f t="shared" ref="S199:S200" si="317">T199+V199</f>
        <v>247781</v>
      </c>
      <c r="T199" s="186">
        <f>D199+H199+L199+P199</f>
        <v>247781</v>
      </c>
      <c r="U199" s="186">
        <f t="shared" si="307"/>
        <v>202620</v>
      </c>
      <c r="V199" s="300">
        <f t="shared" si="308"/>
        <v>0</v>
      </c>
      <c r="W199" s="150"/>
    </row>
    <row r="200" spans="1:23" ht="25.5" x14ac:dyDescent="0.2">
      <c r="A200" s="323" t="s">
        <v>67</v>
      </c>
      <c r="B200" s="347" t="s">
        <v>490</v>
      </c>
      <c r="C200" s="183">
        <f t="shared" si="277"/>
        <v>2919</v>
      </c>
      <c r="D200" s="187">
        <v>2919</v>
      </c>
      <c r="E200" s="187">
        <v>2880</v>
      </c>
      <c r="F200" s="327"/>
      <c r="G200" s="185">
        <f t="shared" si="314"/>
        <v>2919</v>
      </c>
      <c r="H200" s="187">
        <v>2919</v>
      </c>
      <c r="I200" s="187">
        <v>2880</v>
      </c>
      <c r="J200" s="327"/>
      <c r="K200" s="185"/>
      <c r="L200" s="187"/>
      <c r="M200" s="187"/>
      <c r="N200" s="327"/>
      <c r="O200" s="183"/>
      <c r="P200" s="187"/>
      <c r="Q200" s="187"/>
      <c r="R200" s="327"/>
      <c r="S200" s="185">
        <f t="shared" si="317"/>
        <v>5838</v>
      </c>
      <c r="T200" s="186">
        <f t="shared" ref="T200" si="318">D200+H200+L200+P200</f>
        <v>5838</v>
      </c>
      <c r="U200" s="186">
        <f t="shared" ref="U200:U215" si="319">E200+I200+M200+Q200</f>
        <v>5760</v>
      </c>
      <c r="V200" s="300">
        <f t="shared" ref="V200:V215" si="320">F200+J200+N200+R200</f>
        <v>0</v>
      </c>
      <c r="W200" s="150"/>
    </row>
    <row r="201" spans="1:23" x14ac:dyDescent="0.2">
      <c r="A201" s="323"/>
      <c r="B201" s="358" t="s">
        <v>181</v>
      </c>
      <c r="C201" s="183">
        <f t="shared" si="277"/>
        <v>150800</v>
      </c>
      <c r="D201" s="188">
        <f>SUM(D202:D203)</f>
        <v>150800</v>
      </c>
      <c r="E201" s="188">
        <f t="shared" ref="E201:F201" si="321">SUM(E202:E203)</f>
        <v>119600</v>
      </c>
      <c r="F201" s="188">
        <f t="shared" si="321"/>
        <v>0</v>
      </c>
      <c r="G201" s="183">
        <f t="shared" si="302"/>
        <v>2221</v>
      </c>
      <c r="H201" s="188">
        <f>SUM(H202:H203)</f>
        <v>2221</v>
      </c>
      <c r="I201" s="188">
        <f t="shared" ref="I201" si="322">SUM(I202:I203)</f>
        <v>2200</v>
      </c>
      <c r="J201" s="188">
        <f t="shared" ref="J201" si="323">SUM(J202:J203)</f>
        <v>0</v>
      </c>
      <c r="K201" s="183">
        <f t="shared" si="279"/>
        <v>300</v>
      </c>
      <c r="L201" s="188">
        <f>SUM(L202:L203)</f>
        <v>300</v>
      </c>
      <c r="M201" s="188">
        <f t="shared" ref="M201" si="324">SUM(M202:M203)</f>
        <v>0</v>
      </c>
      <c r="N201" s="188">
        <f t="shared" ref="N201" si="325">SUM(N202:N203)</f>
        <v>0</v>
      </c>
      <c r="O201" s="183">
        <f t="shared" si="303"/>
        <v>0</v>
      </c>
      <c r="P201" s="188"/>
      <c r="Q201" s="188"/>
      <c r="R201" s="359"/>
      <c r="S201" s="183">
        <f t="shared" si="275"/>
        <v>153321</v>
      </c>
      <c r="T201" s="184">
        <f>D201+H201+L201+P201</f>
        <v>153321</v>
      </c>
      <c r="U201" s="184">
        <f t="shared" si="319"/>
        <v>121800</v>
      </c>
      <c r="V201" s="369">
        <f t="shared" si="320"/>
        <v>0</v>
      </c>
      <c r="W201" s="150"/>
    </row>
    <row r="202" spans="1:23" x14ac:dyDescent="0.2">
      <c r="A202" s="323" t="s">
        <v>67</v>
      </c>
      <c r="B202" s="342" t="s">
        <v>182</v>
      </c>
      <c r="C202" s="183">
        <f t="shared" si="277"/>
        <v>148579</v>
      </c>
      <c r="D202" s="187">
        <f>150800-2221</f>
        <v>148579</v>
      </c>
      <c r="E202" s="187">
        <f>119600-2200</f>
        <v>117400</v>
      </c>
      <c r="F202" s="327"/>
      <c r="G202" s="185">
        <f t="shared" ref="G202:G203" si="326">H202+J202</f>
        <v>0</v>
      </c>
      <c r="H202" s="187"/>
      <c r="I202" s="187"/>
      <c r="J202" s="327"/>
      <c r="K202" s="185">
        <f t="shared" ref="K202" si="327">L202+N202</f>
        <v>300</v>
      </c>
      <c r="L202" s="187">
        <v>300</v>
      </c>
      <c r="M202" s="187"/>
      <c r="N202" s="327"/>
      <c r="O202" s="183">
        <f t="shared" ref="O202" si="328">P202+R202</f>
        <v>0</v>
      </c>
      <c r="P202" s="187"/>
      <c r="Q202" s="187"/>
      <c r="R202" s="327"/>
      <c r="S202" s="185">
        <f t="shared" ref="S202:S203" si="329">T202+V202</f>
        <v>148879</v>
      </c>
      <c r="T202" s="186">
        <f>D202+H202+L202+P202</f>
        <v>148879</v>
      </c>
      <c r="U202" s="186">
        <f t="shared" si="319"/>
        <v>117400</v>
      </c>
      <c r="V202" s="300">
        <f t="shared" si="320"/>
        <v>0</v>
      </c>
      <c r="W202" s="150"/>
    </row>
    <row r="203" spans="1:23" ht="25.5" x14ac:dyDescent="0.2">
      <c r="A203" s="323" t="s">
        <v>67</v>
      </c>
      <c r="B203" s="347" t="s">
        <v>490</v>
      </c>
      <c r="C203" s="183">
        <f t="shared" si="277"/>
        <v>2221</v>
      </c>
      <c r="D203" s="187">
        <v>2221</v>
      </c>
      <c r="E203" s="187">
        <v>2200</v>
      </c>
      <c r="F203" s="327"/>
      <c r="G203" s="185">
        <f t="shared" si="326"/>
        <v>2221</v>
      </c>
      <c r="H203" s="187">
        <v>2221</v>
      </c>
      <c r="I203" s="187">
        <v>2200</v>
      </c>
      <c r="J203" s="327"/>
      <c r="K203" s="185"/>
      <c r="L203" s="187"/>
      <c r="M203" s="187"/>
      <c r="N203" s="327"/>
      <c r="O203" s="183"/>
      <c r="P203" s="187"/>
      <c r="Q203" s="187"/>
      <c r="R203" s="327"/>
      <c r="S203" s="185">
        <f t="shared" si="329"/>
        <v>4442</v>
      </c>
      <c r="T203" s="186">
        <f t="shared" ref="T203" si="330">D203+H203+L203+P203</f>
        <v>4442</v>
      </c>
      <c r="U203" s="186">
        <f t="shared" si="319"/>
        <v>4400</v>
      </c>
      <c r="V203" s="300">
        <f t="shared" si="320"/>
        <v>0</v>
      </c>
      <c r="W203" s="150"/>
    </row>
    <row r="204" spans="1:23" x14ac:dyDescent="0.2">
      <c r="A204" s="323"/>
      <c r="B204" s="358" t="s">
        <v>36</v>
      </c>
      <c r="C204" s="183">
        <f t="shared" si="277"/>
        <v>156900</v>
      </c>
      <c r="D204" s="188">
        <f>SUM(D205:D206)</f>
        <v>152900</v>
      </c>
      <c r="E204" s="188">
        <f t="shared" ref="E204:F204" si="331">SUM(E205:E206)</f>
        <v>137000</v>
      </c>
      <c r="F204" s="188">
        <f t="shared" si="331"/>
        <v>4000</v>
      </c>
      <c r="G204" s="183">
        <f t="shared" si="302"/>
        <v>2031</v>
      </c>
      <c r="H204" s="188">
        <f>SUM(H205:H206)</f>
        <v>2031</v>
      </c>
      <c r="I204" s="188">
        <f t="shared" ref="I204" si="332">SUM(I205:I206)</f>
        <v>2000</v>
      </c>
      <c r="J204" s="188">
        <f t="shared" ref="J204" si="333">SUM(J205:J206)</f>
        <v>0</v>
      </c>
      <c r="K204" s="183">
        <f t="shared" si="279"/>
        <v>1000</v>
      </c>
      <c r="L204" s="188">
        <f>SUM(L205:L206)</f>
        <v>1000</v>
      </c>
      <c r="M204" s="188">
        <f t="shared" ref="M204" si="334">SUM(M205:M206)</f>
        <v>0</v>
      </c>
      <c r="N204" s="188">
        <f t="shared" ref="N204" si="335">SUM(N205:N206)</f>
        <v>0</v>
      </c>
      <c r="O204" s="183">
        <f t="shared" si="303"/>
        <v>0</v>
      </c>
      <c r="P204" s="188"/>
      <c r="Q204" s="188"/>
      <c r="R204" s="359"/>
      <c r="S204" s="183">
        <f t="shared" si="275"/>
        <v>159931</v>
      </c>
      <c r="T204" s="184">
        <f>D204+H204+L204+P204</f>
        <v>155931</v>
      </c>
      <c r="U204" s="184">
        <f t="shared" si="319"/>
        <v>139000</v>
      </c>
      <c r="V204" s="369">
        <f t="shared" si="320"/>
        <v>4000</v>
      </c>
      <c r="W204" s="150"/>
    </row>
    <row r="205" spans="1:23" x14ac:dyDescent="0.2">
      <c r="A205" s="323" t="s">
        <v>67</v>
      </c>
      <c r="B205" s="342" t="s">
        <v>182</v>
      </c>
      <c r="C205" s="183">
        <f t="shared" ref="C205:C206" si="336">D205+F205</f>
        <v>154869</v>
      </c>
      <c r="D205" s="187">
        <f>152900-2031</f>
        <v>150869</v>
      </c>
      <c r="E205" s="187">
        <f>137000-2000</f>
        <v>135000</v>
      </c>
      <c r="F205" s="327">
        <v>4000</v>
      </c>
      <c r="G205" s="185">
        <f t="shared" si="302"/>
        <v>0</v>
      </c>
      <c r="H205" s="187"/>
      <c r="I205" s="187"/>
      <c r="J205" s="327"/>
      <c r="K205" s="185">
        <f t="shared" si="279"/>
        <v>1000</v>
      </c>
      <c r="L205" s="187">
        <v>1000</v>
      </c>
      <c r="M205" s="187"/>
      <c r="N205" s="327"/>
      <c r="O205" s="183">
        <f t="shared" si="303"/>
        <v>0</v>
      </c>
      <c r="P205" s="187"/>
      <c r="Q205" s="187"/>
      <c r="R205" s="327"/>
      <c r="S205" s="185">
        <f t="shared" si="275"/>
        <v>155869</v>
      </c>
      <c r="T205" s="186">
        <f>D205+H205+L205+P205</f>
        <v>151869</v>
      </c>
      <c r="U205" s="186">
        <f t="shared" si="319"/>
        <v>135000</v>
      </c>
      <c r="V205" s="300">
        <f t="shared" si="320"/>
        <v>4000</v>
      </c>
      <c r="W205" s="150"/>
    </row>
    <row r="206" spans="1:23" ht="25.5" x14ac:dyDescent="0.2">
      <c r="A206" s="323" t="s">
        <v>67</v>
      </c>
      <c r="B206" s="347" t="s">
        <v>490</v>
      </c>
      <c r="C206" s="183">
        <f t="shared" si="336"/>
        <v>2031</v>
      </c>
      <c r="D206" s="187">
        <v>2031</v>
      </c>
      <c r="E206" s="187">
        <v>2000</v>
      </c>
      <c r="F206" s="327"/>
      <c r="G206" s="185">
        <f t="shared" si="302"/>
        <v>2031</v>
      </c>
      <c r="H206" s="187">
        <v>2031</v>
      </c>
      <c r="I206" s="187">
        <v>2000</v>
      </c>
      <c r="J206" s="327"/>
      <c r="K206" s="185"/>
      <c r="L206" s="187"/>
      <c r="M206" s="187"/>
      <c r="N206" s="327"/>
      <c r="O206" s="183"/>
      <c r="P206" s="187"/>
      <c r="Q206" s="187"/>
      <c r="R206" s="327"/>
      <c r="S206" s="185">
        <f t="shared" si="275"/>
        <v>4062</v>
      </c>
      <c r="T206" s="186">
        <f t="shared" ref="T206" si="337">D206+H206+L206+P206</f>
        <v>4062</v>
      </c>
      <c r="U206" s="186">
        <f t="shared" si="319"/>
        <v>4000</v>
      </c>
      <c r="V206" s="300">
        <f t="shared" si="320"/>
        <v>0</v>
      </c>
      <c r="W206" s="150"/>
    </row>
    <row r="207" spans="1:23" x14ac:dyDescent="0.2">
      <c r="A207" s="323"/>
      <c r="B207" s="358" t="s">
        <v>37</v>
      </c>
      <c r="C207" s="183">
        <f t="shared" si="277"/>
        <v>87900</v>
      </c>
      <c r="D207" s="188">
        <f>SUM(D208:D209)</f>
        <v>87900</v>
      </c>
      <c r="E207" s="188">
        <f t="shared" ref="E207:F207" si="338">SUM(E208:E209)</f>
        <v>78000</v>
      </c>
      <c r="F207" s="188">
        <f t="shared" si="338"/>
        <v>0</v>
      </c>
      <c r="G207" s="183">
        <f t="shared" si="302"/>
        <v>1269</v>
      </c>
      <c r="H207" s="188">
        <f>SUM(H208:H209)</f>
        <v>1269</v>
      </c>
      <c r="I207" s="188">
        <f t="shared" ref="I207" si="339">SUM(I208:I209)</f>
        <v>1250</v>
      </c>
      <c r="J207" s="188">
        <f t="shared" ref="J207" si="340">SUM(J208:J209)</f>
        <v>0</v>
      </c>
      <c r="K207" s="183">
        <f t="shared" si="279"/>
        <v>1400</v>
      </c>
      <c r="L207" s="188">
        <f>SUM(L208:L209)</f>
        <v>1400</v>
      </c>
      <c r="M207" s="188">
        <f t="shared" ref="M207" si="341">SUM(M208:M209)</f>
        <v>0</v>
      </c>
      <c r="N207" s="188">
        <f t="shared" ref="N207" si="342">SUM(N208:N209)</f>
        <v>0</v>
      </c>
      <c r="O207" s="183">
        <f t="shared" si="303"/>
        <v>0</v>
      </c>
      <c r="P207" s="188"/>
      <c r="Q207" s="188"/>
      <c r="R207" s="359"/>
      <c r="S207" s="183">
        <f t="shared" si="275"/>
        <v>90569</v>
      </c>
      <c r="T207" s="184">
        <f>D207+H207+L207+P207</f>
        <v>90569</v>
      </c>
      <c r="U207" s="184">
        <f t="shared" si="319"/>
        <v>79250</v>
      </c>
      <c r="V207" s="369">
        <f t="shared" si="320"/>
        <v>0</v>
      </c>
      <c r="W207" s="150"/>
    </row>
    <row r="208" spans="1:23" x14ac:dyDescent="0.2">
      <c r="A208" s="323" t="s">
        <v>67</v>
      </c>
      <c r="B208" s="342" t="s">
        <v>182</v>
      </c>
      <c r="C208" s="183">
        <f t="shared" si="277"/>
        <v>86631</v>
      </c>
      <c r="D208" s="187">
        <f>87900-1269</f>
        <v>86631</v>
      </c>
      <c r="E208" s="187">
        <f>78000-1250</f>
        <v>76750</v>
      </c>
      <c r="F208" s="327"/>
      <c r="G208" s="185">
        <f t="shared" ref="G208:G209" si="343">H208+J208</f>
        <v>0</v>
      </c>
      <c r="H208" s="187"/>
      <c r="I208" s="187"/>
      <c r="J208" s="327"/>
      <c r="K208" s="185">
        <f t="shared" ref="K208" si="344">L208+N208</f>
        <v>1400</v>
      </c>
      <c r="L208" s="187">
        <v>1400</v>
      </c>
      <c r="M208" s="187"/>
      <c r="N208" s="327"/>
      <c r="O208" s="183">
        <f t="shared" ref="O208" si="345">P208+R208</f>
        <v>0</v>
      </c>
      <c r="P208" s="187"/>
      <c r="Q208" s="187"/>
      <c r="R208" s="327"/>
      <c r="S208" s="185">
        <f t="shared" ref="S208:S209" si="346">T208+V208</f>
        <v>88031</v>
      </c>
      <c r="T208" s="186">
        <f>D208+H208+L208+P208</f>
        <v>88031</v>
      </c>
      <c r="U208" s="186">
        <f t="shared" si="319"/>
        <v>76750</v>
      </c>
      <c r="V208" s="300">
        <f t="shared" si="320"/>
        <v>0</v>
      </c>
      <c r="W208" s="150"/>
    </row>
    <row r="209" spans="1:23" ht="25.5" x14ac:dyDescent="0.2">
      <c r="A209" s="323" t="s">
        <v>67</v>
      </c>
      <c r="B209" s="347" t="s">
        <v>490</v>
      </c>
      <c r="C209" s="183">
        <f t="shared" si="277"/>
        <v>1269</v>
      </c>
      <c r="D209" s="187">
        <v>1269</v>
      </c>
      <c r="E209" s="187">
        <v>1250</v>
      </c>
      <c r="F209" s="327"/>
      <c r="G209" s="185">
        <f t="shared" si="343"/>
        <v>1269</v>
      </c>
      <c r="H209" s="187">
        <v>1269</v>
      </c>
      <c r="I209" s="187">
        <v>1250</v>
      </c>
      <c r="J209" s="327"/>
      <c r="K209" s="185"/>
      <c r="L209" s="187"/>
      <c r="M209" s="187"/>
      <c r="N209" s="327"/>
      <c r="O209" s="183"/>
      <c r="P209" s="187"/>
      <c r="Q209" s="187"/>
      <c r="R209" s="327"/>
      <c r="S209" s="185">
        <f t="shared" si="346"/>
        <v>2538</v>
      </c>
      <c r="T209" s="186">
        <f t="shared" ref="T209" si="347">D209+H209+L209+P209</f>
        <v>2538</v>
      </c>
      <c r="U209" s="186">
        <f t="shared" si="319"/>
        <v>2500</v>
      </c>
      <c r="V209" s="230">
        <f t="shared" si="320"/>
        <v>0</v>
      </c>
      <c r="W209" s="193"/>
    </row>
    <row r="210" spans="1:23" x14ac:dyDescent="0.2">
      <c r="A210" s="323"/>
      <c r="B210" s="358" t="s">
        <v>360</v>
      </c>
      <c r="C210" s="183">
        <f t="shared" si="277"/>
        <v>108200</v>
      </c>
      <c r="D210" s="188">
        <f>SUM(D211:D212)</f>
        <v>108200</v>
      </c>
      <c r="E210" s="188">
        <f t="shared" ref="E210:F210" si="348">SUM(E211:E212)</f>
        <v>88600</v>
      </c>
      <c r="F210" s="188">
        <f t="shared" si="348"/>
        <v>0</v>
      </c>
      <c r="G210" s="183">
        <f t="shared" si="302"/>
        <v>1523</v>
      </c>
      <c r="H210" s="188">
        <f>SUM(H211:H212)</f>
        <v>1523</v>
      </c>
      <c r="I210" s="188">
        <f t="shared" ref="I210" si="349">SUM(I211:I212)</f>
        <v>1500</v>
      </c>
      <c r="J210" s="188">
        <f t="shared" ref="J210" si="350">SUM(J211:J212)</f>
        <v>0</v>
      </c>
      <c r="K210" s="183">
        <f t="shared" si="279"/>
        <v>300</v>
      </c>
      <c r="L210" s="188">
        <f>SUM(L211:L212)</f>
        <v>300</v>
      </c>
      <c r="M210" s="188">
        <f t="shared" ref="M210" si="351">SUM(M211:M212)</f>
        <v>0</v>
      </c>
      <c r="N210" s="188">
        <f t="shared" ref="N210" si="352">SUM(N211:N212)</f>
        <v>0</v>
      </c>
      <c r="O210" s="183">
        <f t="shared" si="303"/>
        <v>0</v>
      </c>
      <c r="P210" s="188"/>
      <c r="Q210" s="188"/>
      <c r="R210" s="359"/>
      <c r="S210" s="183">
        <f t="shared" si="275"/>
        <v>110023</v>
      </c>
      <c r="T210" s="184">
        <f>D210+H210+L210+P210</f>
        <v>110023</v>
      </c>
      <c r="U210" s="184">
        <f t="shared" si="319"/>
        <v>90100</v>
      </c>
      <c r="V210" s="369">
        <f t="shared" si="320"/>
        <v>0</v>
      </c>
      <c r="W210" s="150"/>
    </row>
    <row r="211" spans="1:23" x14ac:dyDescent="0.2">
      <c r="A211" s="323" t="s">
        <v>67</v>
      </c>
      <c r="B211" s="342" t="s">
        <v>182</v>
      </c>
      <c r="C211" s="183">
        <f t="shared" ref="C211:C212" si="353">D211+F211</f>
        <v>106677</v>
      </c>
      <c r="D211" s="187">
        <f>108200-1523</f>
        <v>106677</v>
      </c>
      <c r="E211" s="187">
        <f>88600-1500</f>
        <v>87100</v>
      </c>
      <c r="F211" s="327"/>
      <c r="G211" s="185">
        <f t="shared" si="302"/>
        <v>0</v>
      </c>
      <c r="H211" s="187"/>
      <c r="I211" s="187"/>
      <c r="J211" s="327"/>
      <c r="K211" s="185">
        <f t="shared" si="279"/>
        <v>300</v>
      </c>
      <c r="L211" s="187">
        <v>300</v>
      </c>
      <c r="M211" s="187"/>
      <c r="N211" s="327"/>
      <c r="O211" s="183">
        <f t="shared" si="303"/>
        <v>0</v>
      </c>
      <c r="P211" s="187"/>
      <c r="Q211" s="187"/>
      <c r="R211" s="327"/>
      <c r="S211" s="185">
        <f t="shared" si="275"/>
        <v>106977</v>
      </c>
      <c r="T211" s="186">
        <f>D211+H211+L211+P211</f>
        <v>106977</v>
      </c>
      <c r="U211" s="186">
        <f t="shared" si="319"/>
        <v>87100</v>
      </c>
      <c r="V211" s="300">
        <f t="shared" si="320"/>
        <v>0</v>
      </c>
      <c r="W211" s="150"/>
    </row>
    <row r="212" spans="1:23" ht="25.5" x14ac:dyDescent="0.2">
      <c r="A212" s="323" t="s">
        <v>67</v>
      </c>
      <c r="B212" s="347" t="s">
        <v>490</v>
      </c>
      <c r="C212" s="183">
        <f t="shared" si="353"/>
        <v>1523</v>
      </c>
      <c r="D212" s="187">
        <v>1523</v>
      </c>
      <c r="E212" s="187">
        <v>1500</v>
      </c>
      <c r="F212" s="327"/>
      <c r="G212" s="185">
        <f t="shared" si="302"/>
        <v>1523</v>
      </c>
      <c r="H212" s="187">
        <v>1523</v>
      </c>
      <c r="I212" s="187">
        <v>1500</v>
      </c>
      <c r="J212" s="327"/>
      <c r="K212" s="185"/>
      <c r="L212" s="187"/>
      <c r="M212" s="187"/>
      <c r="N212" s="327"/>
      <c r="O212" s="183"/>
      <c r="P212" s="187"/>
      <c r="Q212" s="187"/>
      <c r="R212" s="327"/>
      <c r="S212" s="185">
        <f t="shared" si="275"/>
        <v>3046</v>
      </c>
      <c r="T212" s="186">
        <f t="shared" ref="T212" si="354">D212+H212+L212+P212</f>
        <v>3046</v>
      </c>
      <c r="U212" s="186">
        <f t="shared" si="319"/>
        <v>3000</v>
      </c>
      <c r="V212" s="230">
        <f t="shared" si="320"/>
        <v>0</v>
      </c>
      <c r="W212" s="193"/>
    </row>
    <row r="213" spans="1:23" x14ac:dyDescent="0.2">
      <c r="A213" s="323"/>
      <c r="B213" s="358" t="s">
        <v>337</v>
      </c>
      <c r="C213" s="183">
        <f t="shared" si="277"/>
        <v>605500</v>
      </c>
      <c r="D213" s="188">
        <f>SUM(D214:D216)</f>
        <v>605500</v>
      </c>
      <c r="E213" s="188">
        <f t="shared" ref="E213:F213" si="355">SUM(E214:E216)</f>
        <v>551300</v>
      </c>
      <c r="F213" s="188">
        <f t="shared" si="355"/>
        <v>0</v>
      </c>
      <c r="G213" s="188">
        <f>SUM(G214:G216)</f>
        <v>38490</v>
      </c>
      <c r="H213" s="188">
        <f t="shared" ref="H213" si="356">SUM(H214:H216)</f>
        <v>8884</v>
      </c>
      <c r="I213" s="188">
        <f t="shared" ref="I213:J213" si="357">SUM(I214:I216)</f>
        <v>8757</v>
      </c>
      <c r="J213" s="188">
        <f t="shared" si="357"/>
        <v>29606</v>
      </c>
      <c r="K213" s="188">
        <f>SUM(K214:K216)</f>
        <v>1000</v>
      </c>
      <c r="L213" s="188">
        <f t="shared" ref="L213" si="358">SUM(L214:L216)</f>
        <v>1000</v>
      </c>
      <c r="M213" s="188">
        <f t="shared" ref="M213" si="359">SUM(M214:M216)</f>
        <v>0</v>
      </c>
      <c r="N213" s="359"/>
      <c r="O213" s="183">
        <f t="shared" si="303"/>
        <v>0</v>
      </c>
      <c r="P213" s="188">
        <f t="shared" ref="P213" si="360">SUM(P214:P216)</f>
        <v>0</v>
      </c>
      <c r="Q213" s="188">
        <f t="shared" ref="Q213" si="361">SUM(Q214:Q216)</f>
        <v>0</v>
      </c>
      <c r="R213" s="359"/>
      <c r="S213" s="183">
        <f t="shared" si="275"/>
        <v>644990</v>
      </c>
      <c r="T213" s="184">
        <f>D213+H213+L213+P213</f>
        <v>615384</v>
      </c>
      <c r="U213" s="184">
        <f t="shared" si="319"/>
        <v>560057</v>
      </c>
      <c r="V213" s="369">
        <f t="shared" si="320"/>
        <v>29606</v>
      </c>
      <c r="W213" s="150"/>
    </row>
    <row r="214" spans="1:23" x14ac:dyDescent="0.2">
      <c r="A214" s="323" t="s">
        <v>67</v>
      </c>
      <c r="B214" s="342" t="s">
        <v>182</v>
      </c>
      <c r="C214" s="183">
        <f t="shared" si="277"/>
        <v>596616</v>
      </c>
      <c r="D214" s="187">
        <f>605500-8884</f>
        <v>596616</v>
      </c>
      <c r="E214" s="187">
        <f>551300-8757</f>
        <v>542543</v>
      </c>
      <c r="F214" s="327"/>
      <c r="G214" s="185">
        <f t="shared" ref="G214:G216" si="362">H214+J214</f>
        <v>0</v>
      </c>
      <c r="H214" s="187"/>
      <c r="I214" s="187"/>
      <c r="J214" s="327"/>
      <c r="K214" s="185">
        <f t="shared" ref="K214" si="363">L214+N214</f>
        <v>1000</v>
      </c>
      <c r="L214" s="187">
        <v>1000</v>
      </c>
      <c r="M214" s="187"/>
      <c r="N214" s="327"/>
      <c r="O214" s="183">
        <f t="shared" ref="O214" si="364">P214+R214</f>
        <v>0</v>
      </c>
      <c r="P214" s="187"/>
      <c r="Q214" s="187"/>
      <c r="R214" s="327"/>
      <c r="S214" s="185">
        <f t="shared" ref="S214:S216" si="365">T214+V214</f>
        <v>597616</v>
      </c>
      <c r="T214" s="186">
        <f>D214+H214+L214+P214</f>
        <v>597616</v>
      </c>
      <c r="U214" s="186">
        <f t="shared" si="319"/>
        <v>542543</v>
      </c>
      <c r="V214" s="300">
        <f t="shared" si="320"/>
        <v>0</v>
      </c>
      <c r="W214" s="150"/>
    </row>
    <row r="215" spans="1:23" ht="25.5" x14ac:dyDescent="0.2">
      <c r="A215" s="323" t="s">
        <v>67</v>
      </c>
      <c r="B215" s="347" t="s">
        <v>490</v>
      </c>
      <c r="C215" s="183">
        <f t="shared" si="277"/>
        <v>8884</v>
      </c>
      <c r="D215" s="187">
        <v>8884</v>
      </c>
      <c r="E215" s="187">
        <v>8757</v>
      </c>
      <c r="F215" s="327"/>
      <c r="G215" s="185">
        <f t="shared" si="362"/>
        <v>8884</v>
      </c>
      <c r="H215" s="187">
        <v>8884</v>
      </c>
      <c r="I215" s="187">
        <v>8757</v>
      </c>
      <c r="J215" s="327"/>
      <c r="K215" s="185"/>
      <c r="L215" s="187"/>
      <c r="M215" s="187"/>
      <c r="N215" s="327"/>
      <c r="O215" s="183"/>
      <c r="P215" s="187"/>
      <c r="Q215" s="187"/>
      <c r="R215" s="327"/>
      <c r="S215" s="185">
        <f t="shared" si="365"/>
        <v>17768</v>
      </c>
      <c r="T215" s="186">
        <f t="shared" ref="T215" si="366">D215+H215+L215+P215</f>
        <v>17768</v>
      </c>
      <c r="U215" s="186">
        <f t="shared" si="319"/>
        <v>17514</v>
      </c>
      <c r="V215" s="230">
        <f t="shared" si="320"/>
        <v>0</v>
      </c>
      <c r="W215" s="193"/>
    </row>
    <row r="216" spans="1:23" x14ac:dyDescent="0.2">
      <c r="A216" s="323" t="s">
        <v>67</v>
      </c>
      <c r="B216" s="342" t="s">
        <v>480</v>
      </c>
      <c r="C216" s="183">
        <f t="shared" si="277"/>
        <v>0</v>
      </c>
      <c r="D216" s="187"/>
      <c r="E216" s="187"/>
      <c r="F216" s="327"/>
      <c r="G216" s="185">
        <f t="shared" si="362"/>
        <v>29606</v>
      </c>
      <c r="H216" s="187"/>
      <c r="I216" s="187"/>
      <c r="J216" s="327">
        <v>29606</v>
      </c>
      <c r="K216" s="185">
        <f t="shared" ref="K216" si="367">L216+N216</f>
        <v>0</v>
      </c>
      <c r="L216" s="187"/>
      <c r="M216" s="187"/>
      <c r="N216" s="327"/>
      <c r="O216" s="183"/>
      <c r="P216" s="187"/>
      <c r="Q216" s="187"/>
      <c r="R216" s="327"/>
      <c r="S216" s="185">
        <f t="shared" si="365"/>
        <v>29606</v>
      </c>
      <c r="T216" s="186">
        <f t="shared" ref="T216" si="368">D216+H216+L216+P216</f>
        <v>0</v>
      </c>
      <c r="U216" s="186">
        <f t="shared" ref="U216" si="369">E216+I216+M216+Q216</f>
        <v>0</v>
      </c>
      <c r="V216" s="300">
        <f t="shared" ref="V216" si="370">F216+J216+N216+R216</f>
        <v>29606</v>
      </c>
      <c r="W216" s="150"/>
    </row>
    <row r="217" spans="1:23" x14ac:dyDescent="0.2">
      <c r="A217" s="336"/>
      <c r="B217" s="358" t="s">
        <v>33</v>
      </c>
      <c r="C217" s="183">
        <f t="shared" si="277"/>
        <v>171200</v>
      </c>
      <c r="D217" s="188">
        <f>SUM(D218:D219)</f>
        <v>171200</v>
      </c>
      <c r="E217" s="188">
        <f t="shared" ref="E217:F217" si="371">SUM(E218:E219)</f>
        <v>139100</v>
      </c>
      <c r="F217" s="188">
        <f t="shared" si="371"/>
        <v>0</v>
      </c>
      <c r="G217" s="183">
        <f t="shared" si="302"/>
        <v>1650</v>
      </c>
      <c r="H217" s="188">
        <f>SUM(H218:H219)</f>
        <v>1650</v>
      </c>
      <c r="I217" s="188">
        <f t="shared" ref="I217" si="372">SUM(I218:I219)</f>
        <v>1626</v>
      </c>
      <c r="J217" s="188">
        <f t="shared" ref="J217" si="373">SUM(J218:J219)</f>
        <v>0</v>
      </c>
      <c r="K217" s="183">
        <f t="shared" si="279"/>
        <v>10000</v>
      </c>
      <c r="L217" s="188">
        <f>SUM(L218:L219)</f>
        <v>8800</v>
      </c>
      <c r="M217" s="188">
        <f t="shared" ref="M217" si="374">SUM(M218:M219)</f>
        <v>4800</v>
      </c>
      <c r="N217" s="188">
        <f t="shared" ref="N217" si="375">SUM(N218:N219)</f>
        <v>1200</v>
      </c>
      <c r="O217" s="183">
        <f t="shared" si="303"/>
        <v>0</v>
      </c>
      <c r="P217" s="188"/>
      <c r="Q217" s="188"/>
      <c r="R217" s="188"/>
      <c r="S217" s="183">
        <f t="shared" si="275"/>
        <v>182850</v>
      </c>
      <c r="T217" s="184">
        <f>D217+H217+L217+P217</f>
        <v>181650</v>
      </c>
      <c r="U217" s="184">
        <f t="shared" ref="U217:U223" si="376">E217+I217+M217+Q217</f>
        <v>145526</v>
      </c>
      <c r="V217" s="369">
        <f t="shared" ref="V217:V223" si="377">F217+J217+N217+R217</f>
        <v>1200</v>
      </c>
      <c r="W217" s="150"/>
    </row>
    <row r="218" spans="1:23" x14ac:dyDescent="0.2">
      <c r="A218" s="323" t="s">
        <v>67</v>
      </c>
      <c r="B218" s="342" t="s">
        <v>182</v>
      </c>
      <c r="C218" s="183">
        <f t="shared" si="277"/>
        <v>169550</v>
      </c>
      <c r="D218" s="187">
        <f>167300-1650+3900</f>
        <v>169550</v>
      </c>
      <c r="E218" s="187">
        <f>139100-1626</f>
        <v>137474</v>
      </c>
      <c r="F218" s="327"/>
      <c r="G218" s="185">
        <f t="shared" ref="G218:G219" si="378">H218+J218</f>
        <v>0</v>
      </c>
      <c r="H218" s="187"/>
      <c r="I218" s="187"/>
      <c r="J218" s="327"/>
      <c r="K218" s="185">
        <f t="shared" ref="K218" si="379">L218+N218</f>
        <v>10000</v>
      </c>
      <c r="L218" s="187">
        <v>8800</v>
      </c>
      <c r="M218" s="187">
        <v>4800</v>
      </c>
      <c r="N218" s="327">
        <v>1200</v>
      </c>
      <c r="O218" s="183">
        <f t="shared" ref="O218" si="380">P218+R218</f>
        <v>0</v>
      </c>
      <c r="P218" s="187"/>
      <c r="Q218" s="187"/>
      <c r="R218" s="327"/>
      <c r="S218" s="185">
        <f t="shared" ref="S218:S219" si="381">T218+V218</f>
        <v>179550</v>
      </c>
      <c r="T218" s="186">
        <f>D218+H218+L218+P218</f>
        <v>178350</v>
      </c>
      <c r="U218" s="186">
        <f t="shared" si="376"/>
        <v>142274</v>
      </c>
      <c r="V218" s="300">
        <f t="shared" si="377"/>
        <v>1200</v>
      </c>
      <c r="W218" s="150"/>
    </row>
    <row r="219" spans="1:23" ht="25.5" x14ac:dyDescent="0.2">
      <c r="A219" s="323" t="s">
        <v>67</v>
      </c>
      <c r="B219" s="347" t="s">
        <v>490</v>
      </c>
      <c r="C219" s="183">
        <f t="shared" si="277"/>
        <v>1650</v>
      </c>
      <c r="D219" s="187">
        <v>1650</v>
      </c>
      <c r="E219" s="187">
        <v>1626</v>
      </c>
      <c r="F219" s="327"/>
      <c r="G219" s="185">
        <f t="shared" si="378"/>
        <v>1650</v>
      </c>
      <c r="H219" s="187">
        <v>1650</v>
      </c>
      <c r="I219" s="187">
        <v>1626</v>
      </c>
      <c r="J219" s="327"/>
      <c r="K219" s="185"/>
      <c r="L219" s="187"/>
      <c r="M219" s="187"/>
      <c r="N219" s="327"/>
      <c r="O219" s="183"/>
      <c r="P219" s="187"/>
      <c r="Q219" s="187"/>
      <c r="R219" s="327"/>
      <c r="S219" s="185">
        <f t="shared" si="381"/>
        <v>3300</v>
      </c>
      <c r="T219" s="186">
        <f t="shared" ref="T219" si="382">D219+H219+L219+P219</f>
        <v>3300</v>
      </c>
      <c r="U219" s="186">
        <f t="shared" si="376"/>
        <v>3252</v>
      </c>
      <c r="V219" s="300">
        <f t="shared" si="377"/>
        <v>0</v>
      </c>
      <c r="W219" s="150"/>
    </row>
    <row r="220" spans="1:23" x14ac:dyDescent="0.2">
      <c r="A220" s="323"/>
      <c r="B220" s="358" t="s">
        <v>34</v>
      </c>
      <c r="C220" s="183">
        <f t="shared" si="277"/>
        <v>136500</v>
      </c>
      <c r="D220" s="188">
        <f>SUM(D221:D222)</f>
        <v>136500</v>
      </c>
      <c r="E220" s="188">
        <f t="shared" ref="E220:F220" si="383">SUM(E221:E222)</f>
        <v>127600</v>
      </c>
      <c r="F220" s="188">
        <f t="shared" si="383"/>
        <v>0</v>
      </c>
      <c r="G220" s="183">
        <f t="shared" si="302"/>
        <v>2030</v>
      </c>
      <c r="H220" s="188">
        <f>SUM(H221:H222)</f>
        <v>2030</v>
      </c>
      <c r="I220" s="188">
        <f t="shared" ref="I220" si="384">SUM(I221:I222)</f>
        <v>2000</v>
      </c>
      <c r="J220" s="188">
        <f t="shared" ref="J220" si="385">SUM(J221:J222)</f>
        <v>0</v>
      </c>
      <c r="K220" s="183">
        <f t="shared" si="279"/>
        <v>15000</v>
      </c>
      <c r="L220" s="188">
        <f>SUM(L221:L222)</f>
        <v>15000</v>
      </c>
      <c r="M220" s="188">
        <f t="shared" ref="M220" si="386">SUM(M221:M222)</f>
        <v>0</v>
      </c>
      <c r="N220" s="188">
        <f t="shared" ref="N220" si="387">SUM(N221:N222)</f>
        <v>0</v>
      </c>
      <c r="O220" s="183">
        <f t="shared" si="303"/>
        <v>0</v>
      </c>
      <c r="P220" s="188"/>
      <c r="Q220" s="188"/>
      <c r="R220" s="359"/>
      <c r="S220" s="183">
        <f t="shared" si="275"/>
        <v>153530</v>
      </c>
      <c r="T220" s="184">
        <f>D220+H220+L220+P220</f>
        <v>153530</v>
      </c>
      <c r="U220" s="184">
        <f t="shared" si="376"/>
        <v>129600</v>
      </c>
      <c r="V220" s="252">
        <f t="shared" si="377"/>
        <v>0</v>
      </c>
    </row>
    <row r="221" spans="1:23" x14ac:dyDescent="0.2">
      <c r="A221" s="323" t="s">
        <v>67</v>
      </c>
      <c r="B221" s="342" t="s">
        <v>182</v>
      </c>
      <c r="C221" s="183">
        <f t="shared" si="277"/>
        <v>134470</v>
      </c>
      <c r="D221" s="187">
        <f>136500-2030</f>
        <v>134470</v>
      </c>
      <c r="E221" s="187">
        <f>127600-2000</f>
        <v>125600</v>
      </c>
      <c r="F221" s="327"/>
      <c r="G221" s="185">
        <f t="shared" ref="G221:G222" si="388">H221+J221</f>
        <v>0</v>
      </c>
      <c r="H221" s="187"/>
      <c r="I221" s="187"/>
      <c r="J221" s="327"/>
      <c r="K221" s="185">
        <f t="shared" ref="K221" si="389">L221+N221</f>
        <v>15000</v>
      </c>
      <c r="L221" s="187">
        <v>15000</v>
      </c>
      <c r="M221" s="187"/>
      <c r="N221" s="327"/>
      <c r="O221" s="183">
        <f t="shared" ref="O221" si="390">P221+R221</f>
        <v>0</v>
      </c>
      <c r="P221" s="187"/>
      <c r="Q221" s="187"/>
      <c r="R221" s="327"/>
      <c r="S221" s="185">
        <f t="shared" ref="S221:S222" si="391">T221+V221</f>
        <v>149470</v>
      </c>
      <c r="T221" s="186">
        <f>D221+H221+L221+P221</f>
        <v>149470</v>
      </c>
      <c r="U221" s="186">
        <f t="shared" si="376"/>
        <v>125600</v>
      </c>
      <c r="V221" s="300">
        <f t="shared" si="377"/>
        <v>0</v>
      </c>
      <c r="W221" s="150"/>
    </row>
    <row r="222" spans="1:23" ht="25.5" x14ac:dyDescent="0.2">
      <c r="A222" s="323" t="s">
        <v>67</v>
      </c>
      <c r="B222" s="347" t="s">
        <v>490</v>
      </c>
      <c r="C222" s="183">
        <f t="shared" si="277"/>
        <v>2030</v>
      </c>
      <c r="D222" s="187">
        <v>2030</v>
      </c>
      <c r="E222" s="187">
        <v>2000</v>
      </c>
      <c r="F222" s="327"/>
      <c r="G222" s="185">
        <f t="shared" si="388"/>
        <v>2030</v>
      </c>
      <c r="H222" s="187">
        <v>2030</v>
      </c>
      <c r="I222" s="187">
        <v>2000</v>
      </c>
      <c r="J222" s="327"/>
      <c r="K222" s="185"/>
      <c r="L222" s="187"/>
      <c r="M222" s="187"/>
      <c r="N222" s="327"/>
      <c r="O222" s="183"/>
      <c r="P222" s="187"/>
      <c r="Q222" s="187"/>
      <c r="R222" s="327"/>
      <c r="S222" s="185">
        <f t="shared" si="391"/>
        <v>4060</v>
      </c>
      <c r="T222" s="186">
        <f t="shared" ref="T222" si="392">D222+H222+L222+P222</f>
        <v>4060</v>
      </c>
      <c r="U222" s="186">
        <f t="shared" si="376"/>
        <v>4000</v>
      </c>
      <c r="V222" s="300">
        <f t="shared" si="377"/>
        <v>0</v>
      </c>
      <c r="W222" s="150"/>
    </row>
    <row r="223" spans="1:23" x14ac:dyDescent="0.2">
      <c r="A223" s="323" t="s">
        <v>67</v>
      </c>
      <c r="B223" s="358" t="s">
        <v>56</v>
      </c>
      <c r="C223" s="183">
        <f t="shared" si="277"/>
        <v>1000</v>
      </c>
      <c r="D223" s="188">
        <v>1000</v>
      </c>
      <c r="E223" s="188"/>
      <c r="F223" s="359"/>
      <c r="G223" s="183">
        <f t="shared" si="302"/>
        <v>0</v>
      </c>
      <c r="H223" s="188"/>
      <c r="I223" s="188"/>
      <c r="J223" s="359"/>
      <c r="K223" s="183">
        <f t="shared" si="279"/>
        <v>0</v>
      </c>
      <c r="L223" s="188"/>
      <c r="M223" s="188"/>
      <c r="N223" s="359"/>
      <c r="O223" s="183">
        <f t="shared" si="303"/>
        <v>0</v>
      </c>
      <c r="P223" s="188"/>
      <c r="Q223" s="188"/>
      <c r="R223" s="359"/>
      <c r="S223" s="183">
        <f t="shared" si="275"/>
        <v>1000</v>
      </c>
      <c r="T223" s="184">
        <f>D223+H223+L223+P223</f>
        <v>1000</v>
      </c>
      <c r="U223" s="184">
        <f t="shared" si="376"/>
        <v>0</v>
      </c>
      <c r="V223" s="369">
        <f t="shared" si="377"/>
        <v>0</v>
      </c>
      <c r="W223" s="150"/>
    </row>
    <row r="224" spans="1:23" x14ac:dyDescent="0.2">
      <c r="A224" s="323" t="s">
        <v>67</v>
      </c>
      <c r="B224" s="358" t="s">
        <v>41</v>
      </c>
      <c r="C224" s="183">
        <f t="shared" si="277"/>
        <v>300</v>
      </c>
      <c r="D224" s="188">
        <v>300</v>
      </c>
      <c r="E224" s="188"/>
      <c r="F224" s="359"/>
      <c r="G224" s="183">
        <f t="shared" si="302"/>
        <v>0</v>
      </c>
      <c r="H224" s="188"/>
      <c r="I224" s="188"/>
      <c r="J224" s="359"/>
      <c r="K224" s="183">
        <f t="shared" si="279"/>
        <v>0</v>
      </c>
      <c r="L224" s="188"/>
      <c r="M224" s="188"/>
      <c r="N224" s="359"/>
      <c r="O224" s="183">
        <f t="shared" si="303"/>
        <v>0</v>
      </c>
      <c r="P224" s="188"/>
      <c r="Q224" s="188"/>
      <c r="R224" s="359"/>
      <c r="S224" s="183">
        <f t="shared" si="275"/>
        <v>300</v>
      </c>
      <c r="T224" s="184">
        <f t="shared" ref="T224:T233" si="393">D224+H224+L224+P224</f>
        <v>300</v>
      </c>
      <c r="U224" s="184">
        <f t="shared" ref="U224:U233" si="394">E224+I224+M224+Q224</f>
        <v>0</v>
      </c>
      <c r="V224" s="252">
        <f t="shared" ref="V224:V233" si="395">F224+J224+N224+R224</f>
        <v>0</v>
      </c>
      <c r="W224" s="146"/>
    </row>
    <row r="225" spans="1:23" x14ac:dyDescent="0.2">
      <c r="A225" s="323" t="s">
        <v>67</v>
      </c>
      <c r="B225" s="358" t="s">
        <v>29</v>
      </c>
      <c r="C225" s="183">
        <f t="shared" si="277"/>
        <v>4000</v>
      </c>
      <c r="D225" s="188">
        <v>4000</v>
      </c>
      <c r="E225" s="188"/>
      <c r="F225" s="359"/>
      <c r="G225" s="183">
        <f t="shared" si="302"/>
        <v>0</v>
      </c>
      <c r="H225" s="188"/>
      <c r="I225" s="188"/>
      <c r="J225" s="359"/>
      <c r="K225" s="183">
        <f t="shared" si="279"/>
        <v>0</v>
      </c>
      <c r="L225" s="188"/>
      <c r="M225" s="188"/>
      <c r="N225" s="359"/>
      <c r="O225" s="183">
        <f t="shared" si="303"/>
        <v>0</v>
      </c>
      <c r="P225" s="188"/>
      <c r="Q225" s="188"/>
      <c r="R225" s="359"/>
      <c r="S225" s="183">
        <f t="shared" si="275"/>
        <v>4000</v>
      </c>
      <c r="T225" s="184">
        <f t="shared" si="393"/>
        <v>4000</v>
      </c>
      <c r="U225" s="184">
        <f t="shared" si="394"/>
        <v>0</v>
      </c>
      <c r="V225" s="252">
        <f t="shared" si="395"/>
        <v>0</v>
      </c>
    </row>
    <row r="226" spans="1:23" x14ac:dyDescent="0.2">
      <c r="A226" s="323" t="s">
        <v>67</v>
      </c>
      <c r="B226" s="358" t="s">
        <v>30</v>
      </c>
      <c r="C226" s="183">
        <f t="shared" si="277"/>
        <v>1200</v>
      </c>
      <c r="D226" s="188">
        <v>1200</v>
      </c>
      <c r="E226" s="188"/>
      <c r="F226" s="359"/>
      <c r="G226" s="183">
        <f t="shared" si="302"/>
        <v>0</v>
      </c>
      <c r="H226" s="188"/>
      <c r="I226" s="188"/>
      <c r="J226" s="359"/>
      <c r="K226" s="183">
        <f t="shared" si="279"/>
        <v>0</v>
      </c>
      <c r="L226" s="188"/>
      <c r="M226" s="188"/>
      <c r="N226" s="359"/>
      <c r="O226" s="183">
        <f t="shared" si="303"/>
        <v>0</v>
      </c>
      <c r="P226" s="188"/>
      <c r="Q226" s="188"/>
      <c r="R226" s="359"/>
      <c r="S226" s="183">
        <f t="shared" si="275"/>
        <v>1200</v>
      </c>
      <c r="T226" s="184">
        <f t="shared" si="393"/>
        <v>1200</v>
      </c>
      <c r="U226" s="184">
        <f t="shared" si="394"/>
        <v>0</v>
      </c>
      <c r="V226" s="252">
        <f t="shared" si="395"/>
        <v>0</v>
      </c>
    </row>
    <row r="227" spans="1:23" x14ac:dyDescent="0.2">
      <c r="A227" s="323" t="s">
        <v>67</v>
      </c>
      <c r="B227" s="358" t="s">
        <v>31</v>
      </c>
      <c r="C227" s="183">
        <f t="shared" si="277"/>
        <v>3000</v>
      </c>
      <c r="D227" s="188">
        <v>3000</v>
      </c>
      <c r="E227" s="188"/>
      <c r="F227" s="359"/>
      <c r="G227" s="183">
        <f t="shared" si="302"/>
        <v>0</v>
      </c>
      <c r="H227" s="188"/>
      <c r="I227" s="188"/>
      <c r="J227" s="359"/>
      <c r="K227" s="183">
        <f t="shared" si="279"/>
        <v>0</v>
      </c>
      <c r="L227" s="188"/>
      <c r="M227" s="188"/>
      <c r="N227" s="359"/>
      <c r="O227" s="183">
        <f t="shared" si="303"/>
        <v>0</v>
      </c>
      <c r="P227" s="188"/>
      <c r="Q227" s="188"/>
      <c r="R227" s="359"/>
      <c r="S227" s="183">
        <f t="shared" si="275"/>
        <v>3000</v>
      </c>
      <c r="T227" s="184">
        <f t="shared" si="393"/>
        <v>3000</v>
      </c>
      <c r="U227" s="184">
        <f t="shared" si="394"/>
        <v>0</v>
      </c>
      <c r="V227" s="369">
        <f t="shared" si="395"/>
        <v>0</v>
      </c>
      <c r="W227" s="150"/>
    </row>
    <row r="228" spans="1:23" x14ac:dyDescent="0.2">
      <c r="A228" s="323" t="s">
        <v>67</v>
      </c>
      <c r="B228" s="358" t="s">
        <v>42</v>
      </c>
      <c r="C228" s="183">
        <f t="shared" si="277"/>
        <v>500</v>
      </c>
      <c r="D228" s="188">
        <v>500</v>
      </c>
      <c r="E228" s="188"/>
      <c r="F228" s="359"/>
      <c r="G228" s="183">
        <f t="shared" si="302"/>
        <v>0</v>
      </c>
      <c r="H228" s="188"/>
      <c r="I228" s="188"/>
      <c r="J228" s="359"/>
      <c r="K228" s="183">
        <f t="shared" si="279"/>
        <v>0</v>
      </c>
      <c r="L228" s="188"/>
      <c r="M228" s="188"/>
      <c r="N228" s="359"/>
      <c r="O228" s="183">
        <f t="shared" si="303"/>
        <v>0</v>
      </c>
      <c r="P228" s="188"/>
      <c r="Q228" s="188"/>
      <c r="R228" s="359"/>
      <c r="S228" s="183">
        <f t="shared" si="275"/>
        <v>500</v>
      </c>
      <c r="T228" s="184">
        <f t="shared" si="393"/>
        <v>500</v>
      </c>
      <c r="U228" s="184">
        <f t="shared" si="394"/>
        <v>0</v>
      </c>
      <c r="V228" s="369">
        <f t="shared" si="395"/>
        <v>0</v>
      </c>
      <c r="W228" s="150"/>
    </row>
    <row r="229" spans="1:23" x14ac:dyDescent="0.2">
      <c r="A229" s="323" t="s">
        <v>67</v>
      </c>
      <c r="B229" s="358" t="s">
        <v>32</v>
      </c>
      <c r="C229" s="183">
        <f t="shared" si="277"/>
        <v>500</v>
      </c>
      <c r="D229" s="188">
        <v>500</v>
      </c>
      <c r="E229" s="188"/>
      <c r="F229" s="359"/>
      <c r="G229" s="183">
        <f t="shared" si="302"/>
        <v>0</v>
      </c>
      <c r="H229" s="188"/>
      <c r="I229" s="188"/>
      <c r="J229" s="359"/>
      <c r="K229" s="183">
        <f t="shared" si="279"/>
        <v>0</v>
      </c>
      <c r="L229" s="188"/>
      <c r="M229" s="188"/>
      <c r="N229" s="359"/>
      <c r="O229" s="183">
        <f t="shared" si="303"/>
        <v>0</v>
      </c>
      <c r="P229" s="188"/>
      <c r="Q229" s="188"/>
      <c r="R229" s="359"/>
      <c r="S229" s="183">
        <f t="shared" si="275"/>
        <v>500</v>
      </c>
      <c r="T229" s="184">
        <f t="shared" si="393"/>
        <v>500</v>
      </c>
      <c r="U229" s="184">
        <f t="shared" si="394"/>
        <v>0</v>
      </c>
      <c r="V229" s="252">
        <f t="shared" si="395"/>
        <v>0</v>
      </c>
    </row>
    <row r="230" spans="1:23" x14ac:dyDescent="0.2">
      <c r="A230" s="323" t="s">
        <v>67</v>
      </c>
      <c r="B230" s="358" t="s">
        <v>43</v>
      </c>
      <c r="C230" s="183">
        <f t="shared" si="277"/>
        <v>500</v>
      </c>
      <c r="D230" s="188">
        <v>500</v>
      </c>
      <c r="E230" s="188"/>
      <c r="F230" s="359"/>
      <c r="G230" s="183">
        <f t="shared" si="302"/>
        <v>0</v>
      </c>
      <c r="H230" s="188"/>
      <c r="I230" s="188"/>
      <c r="J230" s="359"/>
      <c r="K230" s="183">
        <f t="shared" si="279"/>
        <v>0</v>
      </c>
      <c r="L230" s="188"/>
      <c r="M230" s="188"/>
      <c r="N230" s="359"/>
      <c r="O230" s="183">
        <f t="shared" si="303"/>
        <v>0</v>
      </c>
      <c r="P230" s="188"/>
      <c r="Q230" s="188"/>
      <c r="R230" s="359"/>
      <c r="S230" s="183">
        <f t="shared" si="275"/>
        <v>500</v>
      </c>
      <c r="T230" s="184">
        <f t="shared" si="393"/>
        <v>500</v>
      </c>
      <c r="U230" s="184">
        <f t="shared" si="394"/>
        <v>0</v>
      </c>
      <c r="V230" s="369">
        <f t="shared" si="395"/>
        <v>0</v>
      </c>
      <c r="W230" s="150"/>
    </row>
    <row r="231" spans="1:23" x14ac:dyDescent="0.2">
      <c r="A231" s="323" t="s">
        <v>67</v>
      </c>
      <c r="B231" s="358" t="s">
        <v>183</v>
      </c>
      <c r="C231" s="183">
        <f t="shared" si="277"/>
        <v>900</v>
      </c>
      <c r="D231" s="188">
        <v>900</v>
      </c>
      <c r="E231" s="188"/>
      <c r="F231" s="359"/>
      <c r="G231" s="183">
        <f t="shared" si="302"/>
        <v>0</v>
      </c>
      <c r="H231" s="188"/>
      <c r="I231" s="188"/>
      <c r="J231" s="359"/>
      <c r="K231" s="183">
        <f t="shared" si="279"/>
        <v>0</v>
      </c>
      <c r="L231" s="188"/>
      <c r="M231" s="188"/>
      <c r="N231" s="359"/>
      <c r="O231" s="183">
        <f t="shared" si="303"/>
        <v>0</v>
      </c>
      <c r="P231" s="188"/>
      <c r="Q231" s="188"/>
      <c r="R231" s="359"/>
      <c r="S231" s="183">
        <f t="shared" si="275"/>
        <v>900</v>
      </c>
      <c r="T231" s="184">
        <f t="shared" si="393"/>
        <v>900</v>
      </c>
      <c r="U231" s="184">
        <f t="shared" si="394"/>
        <v>0</v>
      </c>
      <c r="V231" s="369">
        <f t="shared" si="395"/>
        <v>0</v>
      </c>
      <c r="W231" s="150"/>
    </row>
    <row r="232" spans="1:23" x14ac:dyDescent="0.2">
      <c r="A232" s="323" t="s">
        <v>67</v>
      </c>
      <c r="B232" s="358" t="s">
        <v>45</v>
      </c>
      <c r="C232" s="183">
        <f t="shared" si="277"/>
        <v>1000</v>
      </c>
      <c r="D232" s="188">
        <v>1000</v>
      </c>
      <c r="E232" s="188"/>
      <c r="F232" s="359"/>
      <c r="G232" s="183">
        <f t="shared" si="302"/>
        <v>0</v>
      </c>
      <c r="H232" s="188"/>
      <c r="I232" s="188"/>
      <c r="J232" s="359"/>
      <c r="K232" s="183">
        <f t="shared" si="279"/>
        <v>0</v>
      </c>
      <c r="L232" s="188"/>
      <c r="M232" s="188"/>
      <c r="N232" s="359"/>
      <c r="O232" s="183">
        <f t="shared" si="303"/>
        <v>0</v>
      </c>
      <c r="P232" s="188"/>
      <c r="Q232" s="188"/>
      <c r="R232" s="359"/>
      <c r="S232" s="183">
        <f t="shared" si="275"/>
        <v>1000</v>
      </c>
      <c r="T232" s="184">
        <f t="shared" si="393"/>
        <v>1000</v>
      </c>
      <c r="U232" s="184">
        <f t="shared" si="394"/>
        <v>0</v>
      </c>
      <c r="V232" s="252">
        <f t="shared" si="395"/>
        <v>0</v>
      </c>
    </row>
    <row r="233" spans="1:23" ht="13.5" thickBot="1" x14ac:dyDescent="0.25">
      <c r="A233" s="323" t="s">
        <v>67</v>
      </c>
      <c r="B233" s="358" t="s">
        <v>46</v>
      </c>
      <c r="C233" s="183">
        <f t="shared" si="277"/>
        <v>300</v>
      </c>
      <c r="D233" s="188">
        <v>300</v>
      </c>
      <c r="E233" s="188"/>
      <c r="F233" s="359"/>
      <c r="G233" s="183">
        <f t="shared" si="302"/>
        <v>0</v>
      </c>
      <c r="H233" s="188"/>
      <c r="I233" s="188"/>
      <c r="J233" s="359"/>
      <c r="K233" s="183">
        <f t="shared" si="279"/>
        <v>0</v>
      </c>
      <c r="L233" s="188"/>
      <c r="M233" s="188"/>
      <c r="N233" s="359"/>
      <c r="O233" s="183">
        <f t="shared" si="303"/>
        <v>0</v>
      </c>
      <c r="P233" s="188"/>
      <c r="Q233" s="188"/>
      <c r="R233" s="359"/>
      <c r="S233" s="183">
        <f t="shared" si="275"/>
        <v>300</v>
      </c>
      <c r="T233" s="184">
        <f t="shared" si="393"/>
        <v>300</v>
      </c>
      <c r="U233" s="184">
        <f t="shared" si="394"/>
        <v>0</v>
      </c>
      <c r="V233" s="369">
        <f t="shared" si="395"/>
        <v>0</v>
      </c>
      <c r="W233" s="150"/>
    </row>
    <row r="234" spans="1:23" ht="16.5" customHeight="1" thickBot="1" x14ac:dyDescent="0.25">
      <c r="A234" s="404"/>
      <c r="B234" s="331" t="s">
        <v>289</v>
      </c>
      <c r="C234" s="332">
        <f>D234+F234</f>
        <v>2249600</v>
      </c>
      <c r="D234" s="198">
        <f>SUM(D185,D194,D198,D201,D204,D207,D210,D213,D217,D220,D223,D224,D225,D226,D227,D228,D229,D230,D231,D232,D233)</f>
        <v>2222600</v>
      </c>
      <c r="E234" s="198">
        <f>SUM(E185,E194,E198,E201,E204,E207,E210,E213,E217,E220,E223,E224,E225,E226,E227,E228,E229,E230,E231,E232,E233)</f>
        <v>1824700</v>
      </c>
      <c r="F234" s="198">
        <f>SUM(F185,F194,F198,F201,F204,F207,F210,F213,F217,F220,F223,F224,F225,F226,F227,F228,F229,F230,F231,F232,F233)</f>
        <v>27000</v>
      </c>
      <c r="G234" s="197">
        <f>H234+J234</f>
        <v>58606</v>
      </c>
      <c r="H234" s="198">
        <f>SUM(H185,H194,H198,H201,H204,H207,H210,H213,H217,H220,H223,H224,H225,H226,H227,H228,H229,H230,H231,H232,H233)</f>
        <v>29000</v>
      </c>
      <c r="I234" s="198">
        <f>SUM(I185,I194,I198,I201,I204,I207,I210,I213,I217,I220,I223,I224,I225,I226,I227,I228,I229,I230,I231,I232,I233)</f>
        <v>28593</v>
      </c>
      <c r="J234" s="198">
        <f>SUM(J185,J194,J198,J201,J204,J207,J210,J213,J217,J220,J223,J224,J225,J226,J227,J228,J229,J230,J231,J232,J233)</f>
        <v>29606</v>
      </c>
      <c r="K234" s="197">
        <f>L234+N234</f>
        <v>50028.479999999996</v>
      </c>
      <c r="L234" s="198">
        <f>SUM(L185,L194,L198,L201,L204,L207,L210,L213,L217,L220,L223,L224,L225,L226,L227,L228,L229,L230,L231,L232,L233)</f>
        <v>48828.479999999996</v>
      </c>
      <c r="M234" s="198">
        <f>SUM(M185,M194,M198,M201,M204,M207,M210,M213,M217,M220,M223,M224,M225,M226,M227,M228,M229,M230,M231,M232,M233)</f>
        <v>4800</v>
      </c>
      <c r="N234" s="198">
        <f>SUM(N185,N194,N198,N201,N204,N207,N210,N213,N217,N220,N223,N224,N225,N226,N227,N228,N229,N230,N231,N232,N233)</f>
        <v>1200</v>
      </c>
      <c r="O234" s="197">
        <f>P234+R234</f>
        <v>15000</v>
      </c>
      <c r="P234" s="198">
        <f>SUM(P185,P194,P198,P201,P204,P207,P210,P213,P217,P220,P223,P224,P225,P226,P227,P228,P229,P230,P231,P232,P233)</f>
        <v>0</v>
      </c>
      <c r="Q234" s="198">
        <f>SUM(Q185,Q194,Q198,Q201,Q204,Q207,Q210,Q213,Q217,Q220,Q223,Q224,Q225,Q226,Q227,Q228,Q229,Q230,Q231,Q232,Q233)</f>
        <v>0</v>
      </c>
      <c r="R234" s="198">
        <f>SUM(R185,R194,R198,R201,R204,R207,R210,R213,R217,R220,R223,R224,R225,R226,R227,R228,R229,R230,R231,R232,R233)</f>
        <v>15000</v>
      </c>
      <c r="S234" s="197">
        <f>T234+V234</f>
        <v>2373234.48</v>
      </c>
      <c r="T234" s="198">
        <f>SUM(T185,T194,T198,T201,T204,T207,T210,T213,T217,T220,T223,T224,T225,T226,T227,T228,T229,T230,T231,T232,T233)</f>
        <v>2300428.48</v>
      </c>
      <c r="U234" s="198">
        <f>SUM(U185,U194,U198,U201,U204,U207,U210,U213,U217,U220,U223,U224,U225,U226,U227,U228,U229,U230,U231,U232,U233)</f>
        <v>1858093</v>
      </c>
      <c r="V234" s="271">
        <f>SUM(V185,V194,V198,V201,V204,V207,V210,V213,V217,V220,V223,V224,V225,V226,V227,V228,V229,V230,V231,V232,V233)</f>
        <v>72806</v>
      </c>
      <c r="W234" s="150"/>
    </row>
    <row r="235" spans="1:23" s="79" customFormat="1" ht="16.5" customHeight="1" thickBot="1" x14ac:dyDescent="0.25">
      <c r="A235" s="506" t="s">
        <v>290</v>
      </c>
      <c r="B235" s="507"/>
      <c r="C235" s="507"/>
      <c r="D235" s="507"/>
      <c r="E235" s="507"/>
      <c r="F235" s="507"/>
      <c r="G235" s="507"/>
      <c r="H235" s="507"/>
      <c r="I235" s="507"/>
      <c r="J235" s="507"/>
      <c r="K235" s="507"/>
      <c r="L235" s="507"/>
      <c r="M235" s="507"/>
      <c r="N235" s="507"/>
      <c r="O235" s="507"/>
      <c r="P235" s="507"/>
      <c r="Q235" s="507"/>
      <c r="R235" s="507"/>
      <c r="S235" s="507"/>
      <c r="T235" s="507"/>
      <c r="U235" s="507"/>
      <c r="V235" s="508"/>
    </row>
    <row r="236" spans="1:23" ht="15.75" customHeight="1" x14ac:dyDescent="0.2">
      <c r="A236" s="323"/>
      <c r="B236" s="324" t="s">
        <v>134</v>
      </c>
      <c r="C236" s="231">
        <f t="shared" ref="C236:C297" si="396">D236+F236</f>
        <v>2041200</v>
      </c>
      <c r="D236" s="232">
        <f>SUM(D237:D258)</f>
        <v>1951200</v>
      </c>
      <c r="E236" s="232">
        <f t="shared" ref="E236:F236" si="397">SUM(E237:E258)</f>
        <v>130000</v>
      </c>
      <c r="F236" s="232">
        <f t="shared" si="397"/>
        <v>90000</v>
      </c>
      <c r="G236" s="246">
        <f>H236+J236</f>
        <v>681953.02</v>
      </c>
      <c r="H236" s="232">
        <f>SUM(H237:H258)</f>
        <v>555653.02</v>
      </c>
      <c r="I236" s="232">
        <f t="shared" ref="I236" si="398">SUM(I237:I258)</f>
        <v>36800</v>
      </c>
      <c r="J236" s="232">
        <f t="shared" ref="J236" si="399">SUM(J237:J258)</f>
        <v>126300</v>
      </c>
      <c r="K236" s="231">
        <f>L236+N236</f>
        <v>0</v>
      </c>
      <c r="L236" s="232">
        <f>SUM(L237:L258)</f>
        <v>0</v>
      </c>
      <c r="M236" s="232">
        <f t="shared" ref="M236" si="400">SUM(M237:M258)</f>
        <v>0</v>
      </c>
      <c r="N236" s="335">
        <f t="shared" ref="N236" si="401">SUM(N237:N258)</f>
        <v>0</v>
      </c>
      <c r="O236" s="246">
        <f>P236+R236</f>
        <v>0</v>
      </c>
      <c r="P236" s="232">
        <f>SUM(P237:P258)</f>
        <v>0</v>
      </c>
      <c r="Q236" s="232">
        <f t="shared" ref="Q236" si="402">SUM(Q237:Q258)</f>
        <v>0</v>
      </c>
      <c r="R236" s="232">
        <f t="shared" ref="R236" si="403">SUM(R237:R258)</f>
        <v>0</v>
      </c>
      <c r="S236" s="231">
        <f>T236+V236</f>
        <v>2723153.02</v>
      </c>
      <c r="T236" s="232">
        <f>SUM(T237:T258)</f>
        <v>2506853.02</v>
      </c>
      <c r="U236" s="232">
        <f t="shared" ref="U236" si="404">SUM(U237:U258)</f>
        <v>166800</v>
      </c>
      <c r="V236" s="335">
        <f t="shared" ref="V236" si="405">SUM(V237:V258)</f>
        <v>216300</v>
      </c>
      <c r="W236" s="150"/>
    </row>
    <row r="237" spans="1:23" ht="15.75" customHeight="1" x14ac:dyDescent="0.2">
      <c r="A237" s="330" t="s">
        <v>64</v>
      </c>
      <c r="B237" s="357" t="s">
        <v>294</v>
      </c>
      <c r="C237" s="185">
        <f t="shared" si="396"/>
        <v>200000</v>
      </c>
      <c r="D237" s="192">
        <v>200000</v>
      </c>
      <c r="E237" s="235"/>
      <c r="F237" s="236"/>
      <c r="G237" s="221">
        <f t="shared" ref="G237:G240" si="406">H237+J237</f>
        <v>0</v>
      </c>
      <c r="H237" s="187"/>
      <c r="I237" s="235"/>
      <c r="J237" s="238"/>
      <c r="K237" s="234">
        <f t="shared" ref="K237:K240" si="407">L237+N237</f>
        <v>0</v>
      </c>
      <c r="L237" s="235"/>
      <c r="M237" s="235"/>
      <c r="N237" s="236"/>
      <c r="O237" s="360">
        <f t="shared" ref="O237:O240" si="408">P237+R237</f>
        <v>0</v>
      </c>
      <c r="P237" s="235"/>
      <c r="Q237" s="235"/>
      <c r="R237" s="238"/>
      <c r="S237" s="183">
        <f t="shared" ref="S237:S250" si="409">T237+V237</f>
        <v>200000</v>
      </c>
      <c r="T237" s="186">
        <f t="shared" ref="T237:T250" si="410">D237+H237+L237+P237</f>
        <v>200000</v>
      </c>
      <c r="U237" s="186">
        <f t="shared" ref="U237:U250" si="411">E237+I237+M237+Q237</f>
        <v>0</v>
      </c>
      <c r="V237" s="300">
        <f t="shared" ref="V237:V250" si="412">F237+J237+N237+R237</f>
        <v>0</v>
      </c>
      <c r="W237" s="150"/>
    </row>
    <row r="238" spans="1:23" ht="24" customHeight="1" x14ac:dyDescent="0.2">
      <c r="A238" s="336" t="s">
        <v>66</v>
      </c>
      <c r="B238" s="361" t="s">
        <v>118</v>
      </c>
      <c r="C238" s="185">
        <f t="shared" si="396"/>
        <v>0</v>
      </c>
      <c r="D238" s="192"/>
      <c r="E238" s="235"/>
      <c r="F238" s="236"/>
      <c r="G238" s="221">
        <f t="shared" si="406"/>
        <v>4400</v>
      </c>
      <c r="H238" s="187">
        <v>4400</v>
      </c>
      <c r="I238" s="235"/>
      <c r="J238" s="238"/>
      <c r="K238" s="234">
        <f t="shared" si="407"/>
        <v>0</v>
      </c>
      <c r="L238" s="235"/>
      <c r="M238" s="235"/>
      <c r="N238" s="236"/>
      <c r="O238" s="360">
        <f t="shared" si="408"/>
        <v>0</v>
      </c>
      <c r="P238" s="235"/>
      <c r="Q238" s="235"/>
      <c r="R238" s="238"/>
      <c r="S238" s="183">
        <f t="shared" si="409"/>
        <v>4400</v>
      </c>
      <c r="T238" s="186">
        <f t="shared" si="410"/>
        <v>4400</v>
      </c>
      <c r="U238" s="186">
        <f t="shared" si="411"/>
        <v>0</v>
      </c>
      <c r="V238" s="300">
        <f t="shared" si="412"/>
        <v>0</v>
      </c>
      <c r="W238" s="150"/>
    </row>
    <row r="239" spans="1:23" ht="18.75" customHeight="1" x14ac:dyDescent="0.2">
      <c r="A239" s="330" t="s">
        <v>71</v>
      </c>
      <c r="B239" s="337" t="s">
        <v>388</v>
      </c>
      <c r="C239" s="185">
        <f t="shared" si="396"/>
        <v>0</v>
      </c>
      <c r="D239" s="192"/>
      <c r="E239" s="235"/>
      <c r="F239" s="236"/>
      <c r="G239" s="221">
        <f t="shared" si="406"/>
        <v>2400</v>
      </c>
      <c r="H239" s="187">
        <v>2400</v>
      </c>
      <c r="I239" s="187">
        <v>1100</v>
      </c>
      <c r="J239" s="238"/>
      <c r="K239" s="234">
        <f t="shared" si="407"/>
        <v>0</v>
      </c>
      <c r="L239" s="235"/>
      <c r="M239" s="235"/>
      <c r="N239" s="236"/>
      <c r="O239" s="360">
        <f t="shared" si="408"/>
        <v>0</v>
      </c>
      <c r="P239" s="235"/>
      <c r="Q239" s="235"/>
      <c r="R239" s="238"/>
      <c r="S239" s="183">
        <f t="shared" si="409"/>
        <v>2400</v>
      </c>
      <c r="T239" s="186">
        <f t="shared" si="410"/>
        <v>2400</v>
      </c>
      <c r="U239" s="186">
        <f t="shared" si="411"/>
        <v>1100</v>
      </c>
      <c r="V239" s="300">
        <f t="shared" si="412"/>
        <v>0</v>
      </c>
      <c r="W239" s="150"/>
    </row>
    <row r="240" spans="1:23" ht="25.5" customHeight="1" x14ac:dyDescent="0.2">
      <c r="A240" s="330" t="s">
        <v>69</v>
      </c>
      <c r="B240" s="362" t="s">
        <v>325</v>
      </c>
      <c r="C240" s="185">
        <f t="shared" si="396"/>
        <v>918800</v>
      </c>
      <c r="D240" s="192">
        <v>918800</v>
      </c>
      <c r="E240" s="235"/>
      <c r="F240" s="236"/>
      <c r="G240" s="221">
        <f t="shared" si="406"/>
        <v>169800</v>
      </c>
      <c r="H240" s="187">
        <v>169800</v>
      </c>
      <c r="I240" s="187">
        <v>4900</v>
      </c>
      <c r="J240" s="238"/>
      <c r="K240" s="234">
        <f t="shared" si="407"/>
        <v>0</v>
      </c>
      <c r="L240" s="235"/>
      <c r="M240" s="235"/>
      <c r="N240" s="236"/>
      <c r="O240" s="360">
        <f t="shared" si="408"/>
        <v>0</v>
      </c>
      <c r="P240" s="235"/>
      <c r="Q240" s="235"/>
      <c r="R240" s="238"/>
      <c r="S240" s="183">
        <f t="shared" si="409"/>
        <v>1088600</v>
      </c>
      <c r="T240" s="186">
        <f t="shared" si="410"/>
        <v>1088600</v>
      </c>
      <c r="U240" s="186">
        <f t="shared" si="411"/>
        <v>4900</v>
      </c>
      <c r="V240" s="230">
        <f t="shared" si="412"/>
        <v>0</v>
      </c>
      <c r="W240" s="233"/>
    </row>
    <row r="241" spans="1:24" ht="25.5" customHeight="1" x14ac:dyDescent="0.2">
      <c r="A241" s="330" t="s">
        <v>69</v>
      </c>
      <c r="B241" s="362" t="s">
        <v>431</v>
      </c>
      <c r="C241" s="185">
        <f>D241+F241</f>
        <v>350000</v>
      </c>
      <c r="D241" s="192">
        <v>350000</v>
      </c>
      <c r="E241" s="235"/>
      <c r="F241" s="236"/>
      <c r="G241" s="221">
        <f>H241+J241</f>
        <v>0</v>
      </c>
      <c r="H241" s="187"/>
      <c r="I241" s="235"/>
      <c r="J241" s="238"/>
      <c r="K241" s="234">
        <f>L241+N241</f>
        <v>0</v>
      </c>
      <c r="L241" s="235"/>
      <c r="M241" s="235"/>
      <c r="N241" s="236"/>
      <c r="O241" s="360">
        <f>P241+R241</f>
        <v>0</v>
      </c>
      <c r="P241" s="235"/>
      <c r="Q241" s="235"/>
      <c r="R241" s="238"/>
      <c r="S241" s="183">
        <f t="shared" si="409"/>
        <v>350000</v>
      </c>
      <c r="T241" s="186">
        <f t="shared" si="410"/>
        <v>350000</v>
      </c>
      <c r="U241" s="186">
        <f t="shared" si="411"/>
        <v>0</v>
      </c>
      <c r="V241" s="300">
        <f t="shared" si="412"/>
        <v>0</v>
      </c>
      <c r="W241" s="150"/>
    </row>
    <row r="242" spans="1:24" ht="15.75" customHeight="1" x14ac:dyDescent="0.2">
      <c r="A242" s="330" t="s">
        <v>69</v>
      </c>
      <c r="B242" s="357" t="s">
        <v>292</v>
      </c>
      <c r="C242" s="185">
        <f t="shared" si="396"/>
        <v>0</v>
      </c>
      <c r="D242" s="192"/>
      <c r="E242" s="235"/>
      <c r="F242" s="236"/>
      <c r="G242" s="221">
        <f t="shared" ref="G242:G297" si="413">H242+J242</f>
        <v>65800</v>
      </c>
      <c r="H242" s="187">
        <v>65800</v>
      </c>
      <c r="I242" s="187">
        <v>2500</v>
      </c>
      <c r="J242" s="238"/>
      <c r="K242" s="234">
        <f t="shared" ref="K242:K297" si="414">L242+N242</f>
        <v>0</v>
      </c>
      <c r="L242" s="235"/>
      <c r="M242" s="235"/>
      <c r="N242" s="236"/>
      <c r="O242" s="360">
        <f t="shared" ref="O242:O297" si="415">P242+R242</f>
        <v>0</v>
      </c>
      <c r="P242" s="235"/>
      <c r="Q242" s="235"/>
      <c r="R242" s="238"/>
      <c r="S242" s="183">
        <f t="shared" si="409"/>
        <v>65800</v>
      </c>
      <c r="T242" s="186">
        <f t="shared" si="410"/>
        <v>65800</v>
      </c>
      <c r="U242" s="186">
        <f t="shared" si="411"/>
        <v>2500</v>
      </c>
      <c r="V242" s="230">
        <f t="shared" si="412"/>
        <v>0</v>
      </c>
      <c r="W242" s="146"/>
    </row>
    <row r="243" spans="1:24" ht="23.25" customHeight="1" x14ac:dyDescent="0.2">
      <c r="A243" s="330" t="s">
        <v>69</v>
      </c>
      <c r="B243" s="362" t="s">
        <v>300</v>
      </c>
      <c r="C243" s="185">
        <f t="shared" si="396"/>
        <v>0</v>
      </c>
      <c r="D243" s="192"/>
      <c r="E243" s="235"/>
      <c r="F243" s="236"/>
      <c r="G243" s="221">
        <f t="shared" si="413"/>
        <v>143900</v>
      </c>
      <c r="H243" s="187">
        <v>143900</v>
      </c>
      <c r="I243" s="187">
        <v>4200</v>
      </c>
      <c r="J243" s="238"/>
      <c r="K243" s="234">
        <f t="shared" si="414"/>
        <v>0</v>
      </c>
      <c r="L243" s="235"/>
      <c r="M243" s="235"/>
      <c r="N243" s="236"/>
      <c r="O243" s="360">
        <f t="shared" si="415"/>
        <v>0</v>
      </c>
      <c r="P243" s="235"/>
      <c r="Q243" s="235"/>
      <c r="R243" s="238"/>
      <c r="S243" s="183">
        <f t="shared" si="409"/>
        <v>143900</v>
      </c>
      <c r="T243" s="186">
        <f t="shared" si="410"/>
        <v>143900</v>
      </c>
      <c r="U243" s="186">
        <f t="shared" si="411"/>
        <v>4200</v>
      </c>
      <c r="V243" s="230">
        <f t="shared" si="412"/>
        <v>0</v>
      </c>
      <c r="W243" s="146"/>
    </row>
    <row r="244" spans="1:24" ht="24" customHeight="1" x14ac:dyDescent="0.2">
      <c r="A244" s="330" t="s">
        <v>69</v>
      </c>
      <c r="B244" s="363" t="s">
        <v>293</v>
      </c>
      <c r="C244" s="185">
        <f t="shared" si="396"/>
        <v>64500</v>
      </c>
      <c r="D244" s="192">
        <v>64500</v>
      </c>
      <c r="E244" s="235"/>
      <c r="F244" s="236"/>
      <c r="G244" s="221">
        <f t="shared" si="413"/>
        <v>0</v>
      </c>
      <c r="H244" s="187"/>
      <c r="I244" s="235"/>
      <c r="J244" s="238"/>
      <c r="K244" s="234">
        <f t="shared" si="414"/>
        <v>0</v>
      </c>
      <c r="L244" s="235"/>
      <c r="M244" s="235"/>
      <c r="N244" s="236"/>
      <c r="O244" s="360">
        <f t="shared" si="415"/>
        <v>0</v>
      </c>
      <c r="P244" s="235"/>
      <c r="Q244" s="235"/>
      <c r="R244" s="238"/>
      <c r="S244" s="183">
        <f t="shared" si="409"/>
        <v>64500</v>
      </c>
      <c r="T244" s="186">
        <f t="shared" si="410"/>
        <v>64500</v>
      </c>
      <c r="U244" s="186">
        <f t="shared" si="411"/>
        <v>0</v>
      </c>
      <c r="V244" s="300">
        <f t="shared" si="412"/>
        <v>0</v>
      </c>
      <c r="W244" s="150"/>
    </row>
    <row r="245" spans="1:24" ht="15.75" customHeight="1" x14ac:dyDescent="0.2">
      <c r="A245" s="330" t="s">
        <v>69</v>
      </c>
      <c r="B245" s="357" t="s">
        <v>314</v>
      </c>
      <c r="C245" s="185">
        <f t="shared" si="396"/>
        <v>8000</v>
      </c>
      <c r="D245" s="192">
        <v>8000</v>
      </c>
      <c r="E245" s="235"/>
      <c r="F245" s="236"/>
      <c r="G245" s="360">
        <f t="shared" si="413"/>
        <v>0</v>
      </c>
      <c r="H245" s="235"/>
      <c r="I245" s="235"/>
      <c r="J245" s="238"/>
      <c r="K245" s="234">
        <f t="shared" si="414"/>
        <v>0</v>
      </c>
      <c r="L245" s="235"/>
      <c r="M245" s="235"/>
      <c r="N245" s="236"/>
      <c r="O245" s="360">
        <f t="shared" si="415"/>
        <v>0</v>
      </c>
      <c r="P245" s="235"/>
      <c r="Q245" s="235"/>
      <c r="R245" s="238"/>
      <c r="S245" s="183">
        <f t="shared" si="409"/>
        <v>8000</v>
      </c>
      <c r="T245" s="186">
        <f t="shared" si="410"/>
        <v>8000</v>
      </c>
      <c r="U245" s="186">
        <f t="shared" si="411"/>
        <v>0</v>
      </c>
      <c r="V245" s="300">
        <f t="shared" si="412"/>
        <v>0</v>
      </c>
      <c r="W245" s="150"/>
    </row>
    <row r="246" spans="1:24" ht="15.75" customHeight="1" x14ac:dyDescent="0.2">
      <c r="A246" s="330" t="s">
        <v>69</v>
      </c>
      <c r="B246" s="357" t="s">
        <v>296</v>
      </c>
      <c r="C246" s="185">
        <f t="shared" si="396"/>
        <v>137000</v>
      </c>
      <c r="D246" s="192">
        <v>137000</v>
      </c>
      <c r="E246" s="235"/>
      <c r="F246" s="236"/>
      <c r="G246" s="360">
        <f t="shared" si="413"/>
        <v>0</v>
      </c>
      <c r="H246" s="235"/>
      <c r="I246" s="235"/>
      <c r="J246" s="238"/>
      <c r="K246" s="234">
        <f t="shared" si="414"/>
        <v>0</v>
      </c>
      <c r="L246" s="235"/>
      <c r="M246" s="235"/>
      <c r="N246" s="236"/>
      <c r="O246" s="360">
        <f t="shared" si="415"/>
        <v>0</v>
      </c>
      <c r="P246" s="235"/>
      <c r="Q246" s="235"/>
      <c r="R246" s="238"/>
      <c r="S246" s="183">
        <f t="shared" si="409"/>
        <v>137000</v>
      </c>
      <c r="T246" s="186">
        <f t="shared" si="410"/>
        <v>137000</v>
      </c>
      <c r="U246" s="186">
        <f t="shared" si="411"/>
        <v>0</v>
      </c>
      <c r="V246" s="300">
        <f t="shared" si="412"/>
        <v>0</v>
      </c>
      <c r="W246" s="150"/>
    </row>
    <row r="247" spans="1:24" ht="25.5" customHeight="1" x14ac:dyDescent="0.2">
      <c r="A247" s="330" t="s">
        <v>69</v>
      </c>
      <c r="B247" s="363" t="s">
        <v>471</v>
      </c>
      <c r="C247" s="185">
        <f t="shared" si="396"/>
        <v>23800</v>
      </c>
      <c r="D247" s="192">
        <v>23800</v>
      </c>
      <c r="E247" s="235"/>
      <c r="F247" s="236"/>
      <c r="G247" s="360">
        <f t="shared" si="413"/>
        <v>0</v>
      </c>
      <c r="H247" s="235"/>
      <c r="I247" s="235"/>
      <c r="J247" s="238"/>
      <c r="K247" s="234">
        <f t="shared" si="414"/>
        <v>0</v>
      </c>
      <c r="L247" s="235"/>
      <c r="M247" s="235"/>
      <c r="N247" s="236"/>
      <c r="O247" s="237"/>
      <c r="P247" s="235"/>
      <c r="Q247" s="235"/>
      <c r="R247" s="238"/>
      <c r="S247" s="183">
        <f t="shared" si="409"/>
        <v>23800</v>
      </c>
      <c r="T247" s="186">
        <f t="shared" si="410"/>
        <v>23800</v>
      </c>
      <c r="U247" s="186">
        <f t="shared" si="411"/>
        <v>0</v>
      </c>
      <c r="V247" s="300">
        <f t="shared" si="412"/>
        <v>0</v>
      </c>
      <c r="W247" s="150"/>
    </row>
    <row r="248" spans="1:24" ht="15.75" customHeight="1" x14ac:dyDescent="0.2">
      <c r="A248" s="330" t="s">
        <v>69</v>
      </c>
      <c r="B248" s="357" t="s">
        <v>381</v>
      </c>
      <c r="C248" s="185">
        <f t="shared" si="396"/>
        <v>37400</v>
      </c>
      <c r="D248" s="192">
        <v>37400</v>
      </c>
      <c r="E248" s="235"/>
      <c r="F248" s="230"/>
      <c r="G248" s="360">
        <f t="shared" si="413"/>
        <v>0</v>
      </c>
      <c r="H248" s="235"/>
      <c r="I248" s="235"/>
      <c r="J248" s="238"/>
      <c r="K248" s="234">
        <f t="shared" si="414"/>
        <v>0</v>
      </c>
      <c r="L248" s="235"/>
      <c r="M248" s="235"/>
      <c r="N248" s="236"/>
      <c r="O248" s="237"/>
      <c r="P248" s="235"/>
      <c r="Q248" s="235"/>
      <c r="R248" s="238"/>
      <c r="S248" s="183">
        <f t="shared" si="409"/>
        <v>37400</v>
      </c>
      <c r="T248" s="186">
        <f t="shared" si="410"/>
        <v>37400</v>
      </c>
      <c r="U248" s="186">
        <f t="shared" si="411"/>
        <v>0</v>
      </c>
      <c r="V248" s="300">
        <f t="shared" si="412"/>
        <v>0</v>
      </c>
      <c r="W248" s="150"/>
    </row>
    <row r="249" spans="1:24" ht="15.75" customHeight="1" x14ac:dyDescent="0.2">
      <c r="A249" s="330" t="s">
        <v>69</v>
      </c>
      <c r="B249" s="344" t="s">
        <v>432</v>
      </c>
      <c r="C249" s="185">
        <f t="shared" si="396"/>
        <v>47700</v>
      </c>
      <c r="D249" s="192">
        <v>47700</v>
      </c>
      <c r="E249" s="235"/>
      <c r="F249" s="236"/>
      <c r="G249" s="360">
        <f t="shared" si="413"/>
        <v>0</v>
      </c>
      <c r="H249" s="235"/>
      <c r="I249" s="235"/>
      <c r="J249" s="238"/>
      <c r="K249" s="234"/>
      <c r="L249" s="235"/>
      <c r="M249" s="235"/>
      <c r="N249" s="236"/>
      <c r="O249" s="237"/>
      <c r="P249" s="235"/>
      <c r="Q249" s="235"/>
      <c r="R249" s="238"/>
      <c r="S249" s="183">
        <f t="shared" si="409"/>
        <v>47700</v>
      </c>
      <c r="T249" s="186">
        <f t="shared" si="410"/>
        <v>47700</v>
      </c>
      <c r="U249" s="186">
        <f t="shared" si="411"/>
        <v>0</v>
      </c>
      <c r="V249" s="300">
        <f t="shared" si="412"/>
        <v>0</v>
      </c>
      <c r="W249" s="150"/>
    </row>
    <row r="250" spans="1:24" ht="17.25" customHeight="1" x14ac:dyDescent="0.2">
      <c r="A250" s="330" t="s">
        <v>69</v>
      </c>
      <c r="B250" s="364" t="s">
        <v>564</v>
      </c>
      <c r="C250" s="185">
        <f t="shared" si="396"/>
        <v>154000</v>
      </c>
      <c r="D250" s="192">
        <f>152100+1900</f>
        <v>154000</v>
      </c>
      <c r="E250" s="187">
        <f>1900+128100</f>
        <v>130000</v>
      </c>
      <c r="F250" s="230"/>
      <c r="G250" s="360"/>
      <c r="H250" s="235"/>
      <c r="I250" s="235"/>
      <c r="J250" s="238"/>
      <c r="K250" s="234"/>
      <c r="L250" s="235"/>
      <c r="M250" s="235"/>
      <c r="N250" s="236"/>
      <c r="O250" s="237"/>
      <c r="P250" s="235"/>
      <c r="Q250" s="235"/>
      <c r="R250" s="238"/>
      <c r="S250" s="183">
        <f t="shared" si="409"/>
        <v>154000</v>
      </c>
      <c r="T250" s="186">
        <f t="shared" si="410"/>
        <v>154000</v>
      </c>
      <c r="U250" s="186">
        <f t="shared" si="411"/>
        <v>130000</v>
      </c>
      <c r="V250" s="300">
        <f t="shared" si="412"/>
        <v>0</v>
      </c>
      <c r="W250" s="150"/>
    </row>
    <row r="251" spans="1:24" ht="15.75" customHeight="1" x14ac:dyDescent="0.2">
      <c r="A251" s="330" t="s">
        <v>69</v>
      </c>
      <c r="B251" s="344" t="s">
        <v>523</v>
      </c>
      <c r="C251" s="185">
        <f t="shared" ref="C251" si="416">D251+F251</f>
        <v>0</v>
      </c>
      <c r="D251" s="192"/>
      <c r="E251" s="187"/>
      <c r="F251" s="230"/>
      <c r="G251" s="221">
        <f t="shared" ref="G251" si="417">H251+J251</f>
        <v>24100</v>
      </c>
      <c r="H251" s="192">
        <f>27532.32-3432.32</f>
        <v>24100</v>
      </c>
      <c r="I251" s="187">
        <v>4000</v>
      </c>
      <c r="J251" s="230"/>
      <c r="K251" s="234"/>
      <c r="L251" s="235"/>
      <c r="M251" s="235"/>
      <c r="N251" s="236"/>
      <c r="O251" s="237"/>
      <c r="P251" s="235"/>
      <c r="Q251" s="235"/>
      <c r="R251" s="238"/>
      <c r="S251" s="183">
        <f t="shared" ref="S251" si="418">T251+V251</f>
        <v>24100</v>
      </c>
      <c r="T251" s="186">
        <f>D251+H251+L251+P251</f>
        <v>24100</v>
      </c>
      <c r="U251" s="186">
        <f t="shared" ref="U251:V251" si="419">E251+I251+M251+Q251</f>
        <v>4000</v>
      </c>
      <c r="V251" s="230">
        <f t="shared" si="419"/>
        <v>0</v>
      </c>
      <c r="X251" s="255"/>
    </row>
    <row r="252" spans="1:24" ht="17.25" customHeight="1" x14ac:dyDescent="0.2">
      <c r="A252" s="330" t="s">
        <v>69</v>
      </c>
      <c r="B252" s="344" t="s">
        <v>524</v>
      </c>
      <c r="C252" s="185">
        <f t="shared" ref="C252:C258" si="420">D252+F252</f>
        <v>0</v>
      </c>
      <c r="D252" s="192"/>
      <c r="E252" s="187"/>
      <c r="F252" s="230"/>
      <c r="G252" s="221">
        <f t="shared" ref="G252:G258" si="421">H252+J252</f>
        <v>3515</v>
      </c>
      <c r="H252" s="192">
        <f>4120.7-605.7</f>
        <v>3515</v>
      </c>
      <c r="I252" s="187">
        <v>500</v>
      </c>
      <c r="J252" s="230"/>
      <c r="K252" s="234"/>
      <c r="L252" s="235"/>
      <c r="M252" s="235"/>
      <c r="N252" s="236"/>
      <c r="O252" s="237"/>
      <c r="P252" s="235"/>
      <c r="Q252" s="235"/>
      <c r="R252" s="238"/>
      <c r="S252" s="183">
        <f t="shared" ref="S252:S258" si="422">T252+V252</f>
        <v>3515</v>
      </c>
      <c r="T252" s="186">
        <f t="shared" ref="T252:T258" si="423">D252+H252+L252+P252</f>
        <v>3515</v>
      </c>
      <c r="U252" s="186">
        <f t="shared" ref="U252:U259" si="424">E252+I252+M252+Q252</f>
        <v>500</v>
      </c>
      <c r="V252" s="300">
        <f t="shared" ref="V252:V259" si="425">F252+J252+N252+R252</f>
        <v>0</v>
      </c>
      <c r="W252" s="150"/>
      <c r="X252" s="255"/>
    </row>
    <row r="253" spans="1:24" ht="17.25" customHeight="1" x14ac:dyDescent="0.2">
      <c r="A253" s="330" t="s">
        <v>69</v>
      </c>
      <c r="B253" s="344" t="s">
        <v>525</v>
      </c>
      <c r="C253" s="185">
        <f t="shared" si="420"/>
        <v>0</v>
      </c>
      <c r="D253" s="192"/>
      <c r="E253" s="187"/>
      <c r="F253" s="230"/>
      <c r="G253" s="221">
        <f t="shared" si="421"/>
        <v>3432.32</v>
      </c>
      <c r="H253" s="192">
        <v>3432.32</v>
      </c>
      <c r="I253" s="187"/>
      <c r="J253" s="230"/>
      <c r="K253" s="234"/>
      <c r="L253" s="235"/>
      <c r="M253" s="235"/>
      <c r="N253" s="236"/>
      <c r="O253" s="237"/>
      <c r="P253" s="235"/>
      <c r="Q253" s="235"/>
      <c r="R253" s="238"/>
      <c r="S253" s="183">
        <f t="shared" si="422"/>
        <v>3432.32</v>
      </c>
      <c r="T253" s="186">
        <f t="shared" si="423"/>
        <v>3432.32</v>
      </c>
      <c r="U253" s="186">
        <f t="shared" si="424"/>
        <v>0</v>
      </c>
      <c r="V253" s="230">
        <f t="shared" si="425"/>
        <v>0</v>
      </c>
    </row>
    <row r="254" spans="1:24" ht="17.25" customHeight="1" x14ac:dyDescent="0.2">
      <c r="A254" s="330" t="s">
        <v>69</v>
      </c>
      <c r="B254" s="344" t="s">
        <v>526</v>
      </c>
      <c r="C254" s="185">
        <f t="shared" si="420"/>
        <v>0</v>
      </c>
      <c r="D254" s="192"/>
      <c r="E254" s="187"/>
      <c r="F254" s="230"/>
      <c r="G254" s="221">
        <f t="shared" si="421"/>
        <v>605.70000000000005</v>
      </c>
      <c r="H254" s="192">
        <v>605.70000000000005</v>
      </c>
      <c r="I254" s="187"/>
      <c r="J254" s="230"/>
      <c r="K254" s="234"/>
      <c r="L254" s="235"/>
      <c r="M254" s="235"/>
      <c r="N254" s="236"/>
      <c r="O254" s="237"/>
      <c r="P254" s="235"/>
      <c r="Q254" s="235"/>
      <c r="R254" s="238"/>
      <c r="S254" s="183">
        <f t="shared" si="422"/>
        <v>605.70000000000005</v>
      </c>
      <c r="T254" s="186">
        <f t="shared" si="423"/>
        <v>605.70000000000005</v>
      </c>
      <c r="U254" s="186">
        <f t="shared" si="424"/>
        <v>0</v>
      </c>
      <c r="V254" s="300">
        <f t="shared" si="425"/>
        <v>0</v>
      </c>
      <c r="W254" s="150"/>
    </row>
    <row r="255" spans="1:24" ht="16.5" customHeight="1" x14ac:dyDescent="0.2">
      <c r="A255" s="330" t="s">
        <v>69</v>
      </c>
      <c r="B255" s="364" t="s">
        <v>527</v>
      </c>
      <c r="C255" s="185">
        <f t="shared" si="420"/>
        <v>0</v>
      </c>
      <c r="D255" s="192"/>
      <c r="E255" s="187"/>
      <c r="F255" s="230"/>
      <c r="G255" s="221">
        <f t="shared" si="421"/>
        <v>96920.58</v>
      </c>
      <c r="H255" s="192">
        <f>135000-38079.42</f>
        <v>96920.58</v>
      </c>
      <c r="I255" s="187">
        <f>19600-3379.58</f>
        <v>16220.42</v>
      </c>
      <c r="J255" s="230"/>
      <c r="K255" s="234"/>
      <c r="L255" s="235"/>
      <c r="M255" s="235"/>
      <c r="N255" s="236"/>
      <c r="O255" s="237"/>
      <c r="P255" s="235"/>
      <c r="Q255" s="235"/>
      <c r="R255" s="238"/>
      <c r="S255" s="183">
        <f t="shared" si="422"/>
        <v>96920.58</v>
      </c>
      <c r="T255" s="186">
        <f t="shared" si="423"/>
        <v>96920.58</v>
      </c>
      <c r="U255" s="186">
        <f t="shared" si="424"/>
        <v>16220.42</v>
      </c>
      <c r="V255" s="230">
        <f t="shared" si="425"/>
        <v>0</v>
      </c>
    </row>
    <row r="256" spans="1:24" ht="24" customHeight="1" x14ac:dyDescent="0.2">
      <c r="A256" s="330" t="s">
        <v>69</v>
      </c>
      <c r="B256" s="364" t="s">
        <v>528</v>
      </c>
      <c r="C256" s="185">
        <f t="shared" si="420"/>
        <v>0</v>
      </c>
      <c r="D256" s="192"/>
      <c r="E256" s="187"/>
      <c r="F256" s="230"/>
      <c r="G256" s="221">
        <f t="shared" si="421"/>
        <v>38079.42</v>
      </c>
      <c r="H256" s="192">
        <v>38079.42</v>
      </c>
      <c r="I256" s="187">
        <v>3379.58</v>
      </c>
      <c r="J256" s="230"/>
      <c r="K256" s="234"/>
      <c r="L256" s="235"/>
      <c r="M256" s="235"/>
      <c r="N256" s="236"/>
      <c r="O256" s="237"/>
      <c r="P256" s="235"/>
      <c r="Q256" s="235"/>
      <c r="R256" s="238"/>
      <c r="S256" s="183">
        <f t="shared" si="422"/>
        <v>38079.42</v>
      </c>
      <c r="T256" s="186">
        <f t="shared" si="423"/>
        <v>38079.42</v>
      </c>
      <c r="U256" s="186">
        <f t="shared" si="424"/>
        <v>3379.58</v>
      </c>
      <c r="V256" s="230">
        <f t="shared" si="425"/>
        <v>0</v>
      </c>
    </row>
    <row r="257" spans="1:23" ht="22.5" customHeight="1" x14ac:dyDescent="0.2">
      <c r="A257" s="330" t="s">
        <v>69</v>
      </c>
      <c r="B257" s="364" t="s">
        <v>529</v>
      </c>
      <c r="C257" s="185">
        <f t="shared" si="420"/>
        <v>100000</v>
      </c>
      <c r="D257" s="192">
        <v>10000</v>
      </c>
      <c r="E257" s="187"/>
      <c r="F257" s="230">
        <v>90000</v>
      </c>
      <c r="G257" s="221">
        <f t="shared" si="421"/>
        <v>106613.74</v>
      </c>
      <c r="H257" s="192">
        <v>2700</v>
      </c>
      <c r="I257" s="187"/>
      <c r="J257" s="230">
        <f>126300-22386.26</f>
        <v>103913.74</v>
      </c>
      <c r="K257" s="234"/>
      <c r="L257" s="235"/>
      <c r="M257" s="235"/>
      <c r="N257" s="236"/>
      <c r="O257" s="237"/>
      <c r="P257" s="235"/>
      <c r="Q257" s="235"/>
      <c r="R257" s="238"/>
      <c r="S257" s="183">
        <f t="shared" si="422"/>
        <v>206613.74</v>
      </c>
      <c r="T257" s="186">
        <f t="shared" si="423"/>
        <v>12700</v>
      </c>
      <c r="U257" s="186">
        <f t="shared" si="424"/>
        <v>0</v>
      </c>
      <c r="V257" s="300">
        <f t="shared" si="425"/>
        <v>193913.74</v>
      </c>
      <c r="W257" s="150"/>
    </row>
    <row r="258" spans="1:23" ht="25.5" customHeight="1" x14ac:dyDescent="0.2">
      <c r="A258" s="330" t="s">
        <v>69</v>
      </c>
      <c r="B258" s="364" t="s">
        <v>530</v>
      </c>
      <c r="C258" s="185">
        <f t="shared" si="420"/>
        <v>0</v>
      </c>
      <c r="D258" s="192"/>
      <c r="E258" s="187"/>
      <c r="F258" s="230"/>
      <c r="G258" s="221">
        <f t="shared" si="421"/>
        <v>22386.26</v>
      </c>
      <c r="H258" s="192"/>
      <c r="I258" s="187"/>
      <c r="J258" s="230">
        <v>22386.26</v>
      </c>
      <c r="K258" s="234"/>
      <c r="L258" s="235"/>
      <c r="M258" s="235"/>
      <c r="N258" s="236"/>
      <c r="O258" s="237"/>
      <c r="P258" s="235"/>
      <c r="Q258" s="235"/>
      <c r="R258" s="238"/>
      <c r="S258" s="183">
        <f t="shared" si="422"/>
        <v>22386.26</v>
      </c>
      <c r="T258" s="186">
        <f t="shared" si="423"/>
        <v>0</v>
      </c>
      <c r="U258" s="186">
        <f t="shared" si="424"/>
        <v>0</v>
      </c>
      <c r="V258" s="300">
        <f t="shared" si="425"/>
        <v>22386.26</v>
      </c>
      <c r="W258" s="150"/>
    </row>
    <row r="259" spans="1:23" ht="16.5" customHeight="1" x14ac:dyDescent="0.2">
      <c r="A259" s="330"/>
      <c r="B259" s="365" t="s">
        <v>147</v>
      </c>
      <c r="C259" s="183">
        <f t="shared" si="396"/>
        <v>794100</v>
      </c>
      <c r="D259" s="188">
        <f>SUM(D260:D263)</f>
        <v>789100</v>
      </c>
      <c r="E259" s="188">
        <f>SUM(E260:E263)</f>
        <v>775900</v>
      </c>
      <c r="F259" s="252">
        <f>SUM(F260:F263)</f>
        <v>5000</v>
      </c>
      <c r="G259" s="246">
        <f t="shared" si="413"/>
        <v>275149.15000000002</v>
      </c>
      <c r="H259" s="188">
        <f>SUM(H260:H263)</f>
        <v>275149.15000000002</v>
      </c>
      <c r="I259" s="188">
        <f>SUM(I260:I263)</f>
        <v>259838.3</v>
      </c>
      <c r="J259" s="188">
        <f>SUM(J260:J263)</f>
        <v>0</v>
      </c>
      <c r="K259" s="183">
        <f t="shared" si="414"/>
        <v>430000</v>
      </c>
      <c r="L259" s="188">
        <f>SUM(L260:L263)</f>
        <v>430000</v>
      </c>
      <c r="M259" s="188">
        <f>SUM(M260:M263)</f>
        <v>156300</v>
      </c>
      <c r="N259" s="252">
        <f>SUM(N260:N263)</f>
        <v>0</v>
      </c>
      <c r="O259" s="366"/>
      <c r="P259" s="188">
        <f>SUM(P260:P263)</f>
        <v>0</v>
      </c>
      <c r="Q259" s="188">
        <f>SUM(Q260:Q263)</f>
        <v>0</v>
      </c>
      <c r="R259" s="188">
        <f>SUM(R260:R263)</f>
        <v>0</v>
      </c>
      <c r="S259" s="183">
        <f t="shared" ref="S259:S297" si="426">T259+V259</f>
        <v>1499249.15</v>
      </c>
      <c r="T259" s="184">
        <f>D259+H259+L259+P259</f>
        <v>1494249.15</v>
      </c>
      <c r="U259" s="184">
        <f t="shared" si="424"/>
        <v>1192038.3</v>
      </c>
      <c r="V259" s="252">
        <f t="shared" si="425"/>
        <v>5000</v>
      </c>
    </row>
    <row r="260" spans="1:23" ht="15.75" customHeight="1" x14ac:dyDescent="0.2">
      <c r="A260" s="330" t="s">
        <v>69</v>
      </c>
      <c r="B260" s="367" t="s">
        <v>182</v>
      </c>
      <c r="C260" s="185">
        <f t="shared" si="396"/>
        <v>794100</v>
      </c>
      <c r="D260" s="187">
        <f>542000+247100</f>
        <v>789100</v>
      </c>
      <c r="E260" s="187">
        <f>532300+243600</f>
        <v>775900</v>
      </c>
      <c r="F260" s="230">
        <v>5000</v>
      </c>
      <c r="G260" s="221">
        <f>H260+J260</f>
        <v>0</v>
      </c>
      <c r="H260" s="187"/>
      <c r="I260" s="235"/>
      <c r="J260" s="238"/>
      <c r="K260" s="185">
        <f>L260+N260</f>
        <v>430000</v>
      </c>
      <c r="L260" s="187">
        <v>430000</v>
      </c>
      <c r="M260" s="187">
        <v>156300</v>
      </c>
      <c r="N260" s="230"/>
      <c r="O260" s="368"/>
      <c r="P260" s="235"/>
      <c r="Q260" s="235"/>
      <c r="R260" s="238"/>
      <c r="S260" s="185">
        <f t="shared" si="426"/>
        <v>1224100</v>
      </c>
      <c r="T260" s="186">
        <f>D260+H260+L260+P260</f>
        <v>1219100</v>
      </c>
      <c r="U260" s="186">
        <f t="shared" ref="U260:V260" si="427">E260+I260+M260+Q260</f>
        <v>932200</v>
      </c>
      <c r="V260" s="300">
        <f t="shared" si="427"/>
        <v>5000</v>
      </c>
      <c r="W260" s="150"/>
    </row>
    <row r="261" spans="1:23" ht="23.25" customHeight="1" x14ac:dyDescent="0.2">
      <c r="A261" s="330" t="s">
        <v>69</v>
      </c>
      <c r="B261" s="362" t="s">
        <v>550</v>
      </c>
      <c r="C261" s="185">
        <f t="shared" ref="C261" si="428">D261+F261</f>
        <v>0</v>
      </c>
      <c r="D261" s="187"/>
      <c r="E261" s="187"/>
      <c r="F261" s="230"/>
      <c r="G261" s="221">
        <f>H261+J261</f>
        <v>70000</v>
      </c>
      <c r="H261" s="187">
        <f>83349.15-13349.15</f>
        <v>70000</v>
      </c>
      <c r="I261" s="187">
        <v>70000</v>
      </c>
      <c r="J261" s="238"/>
      <c r="K261" s="185"/>
      <c r="L261" s="187"/>
      <c r="M261" s="187"/>
      <c r="N261" s="230"/>
      <c r="O261" s="237"/>
      <c r="P261" s="235"/>
      <c r="Q261" s="235"/>
      <c r="R261" s="238"/>
      <c r="S261" s="185">
        <f t="shared" ref="S261" si="429">T261+V261</f>
        <v>70000</v>
      </c>
      <c r="T261" s="186">
        <f t="shared" ref="T261:T263" si="430">D261+H261+L261+P261</f>
        <v>70000</v>
      </c>
      <c r="U261" s="186">
        <f t="shared" ref="U261:U263" si="431">E261+I261+M261+Q261</f>
        <v>70000</v>
      </c>
      <c r="V261" s="230">
        <f t="shared" ref="V261:V263" si="432">F261+J261+N261+R261</f>
        <v>0</v>
      </c>
      <c r="W261" s="146"/>
    </row>
    <row r="262" spans="1:23" ht="24.75" customHeight="1" x14ac:dyDescent="0.2">
      <c r="A262" s="330" t="s">
        <v>69</v>
      </c>
      <c r="B262" s="362" t="s">
        <v>551</v>
      </c>
      <c r="C262" s="185">
        <f t="shared" si="396"/>
        <v>0</v>
      </c>
      <c r="D262" s="187"/>
      <c r="E262" s="187"/>
      <c r="F262" s="230"/>
      <c r="G262" s="221">
        <f>H262+J262</f>
        <v>13349.15</v>
      </c>
      <c r="H262" s="187">
        <v>13349.15</v>
      </c>
      <c r="I262" s="187">
        <v>1438.3</v>
      </c>
      <c r="J262" s="238"/>
      <c r="K262" s="185"/>
      <c r="L262" s="187"/>
      <c r="M262" s="187"/>
      <c r="N262" s="230"/>
      <c r="O262" s="237"/>
      <c r="P262" s="235"/>
      <c r="Q262" s="235"/>
      <c r="R262" s="238"/>
      <c r="S262" s="185">
        <f t="shared" si="426"/>
        <v>13349.15</v>
      </c>
      <c r="T262" s="186">
        <f t="shared" si="430"/>
        <v>13349.15</v>
      </c>
      <c r="U262" s="186">
        <f t="shared" si="431"/>
        <v>1438.3</v>
      </c>
      <c r="V262" s="300">
        <f t="shared" si="432"/>
        <v>0</v>
      </c>
      <c r="W262" s="233"/>
    </row>
    <row r="263" spans="1:23" ht="24.75" customHeight="1" x14ac:dyDescent="0.2">
      <c r="A263" s="330" t="s">
        <v>69</v>
      </c>
      <c r="B263" s="362" t="s">
        <v>300</v>
      </c>
      <c r="C263" s="234">
        <f t="shared" si="396"/>
        <v>0</v>
      </c>
      <c r="D263" s="235"/>
      <c r="E263" s="235"/>
      <c r="F263" s="236"/>
      <c r="G263" s="221">
        <f>H263+J263</f>
        <v>191800</v>
      </c>
      <c r="H263" s="187">
        <v>191800</v>
      </c>
      <c r="I263" s="187">
        <v>188400</v>
      </c>
      <c r="J263" s="238"/>
      <c r="K263" s="234">
        <f>L263+N263</f>
        <v>0</v>
      </c>
      <c r="L263" s="235"/>
      <c r="M263" s="235"/>
      <c r="N263" s="236"/>
      <c r="O263" s="237"/>
      <c r="P263" s="235"/>
      <c r="Q263" s="235"/>
      <c r="R263" s="238"/>
      <c r="S263" s="185">
        <f t="shared" si="426"/>
        <v>191800</v>
      </c>
      <c r="T263" s="186">
        <f t="shared" si="430"/>
        <v>191800</v>
      </c>
      <c r="U263" s="186">
        <f t="shared" si="431"/>
        <v>188400</v>
      </c>
      <c r="V263" s="300">
        <f t="shared" si="432"/>
        <v>0</v>
      </c>
      <c r="W263" s="150"/>
    </row>
    <row r="264" spans="1:23" x14ac:dyDescent="0.2">
      <c r="A264" s="330"/>
      <c r="B264" s="354" t="s">
        <v>412</v>
      </c>
      <c r="C264" s="183">
        <f t="shared" si="396"/>
        <v>777000</v>
      </c>
      <c r="D264" s="188">
        <f>SUM(D265:D267)</f>
        <v>777000</v>
      </c>
      <c r="E264" s="188">
        <f t="shared" ref="E264:F264" si="433">SUM(E265:E267)</f>
        <v>432500</v>
      </c>
      <c r="F264" s="359">
        <f t="shared" si="433"/>
        <v>0</v>
      </c>
      <c r="G264" s="339">
        <f>H264+J264</f>
        <v>8400</v>
      </c>
      <c r="H264" s="188">
        <f>SUM(H265:H267)</f>
        <v>8400</v>
      </c>
      <c r="I264" s="188">
        <f t="shared" ref="I264:J264" si="434">SUM(I265:I267)</f>
        <v>7000</v>
      </c>
      <c r="J264" s="188">
        <f t="shared" si="434"/>
        <v>0</v>
      </c>
      <c r="K264" s="183">
        <f>L264+N264</f>
        <v>40000</v>
      </c>
      <c r="L264" s="188">
        <f>SUM(L265:L267)</f>
        <v>40000</v>
      </c>
      <c r="M264" s="188"/>
      <c r="N264" s="252"/>
      <c r="O264" s="237"/>
      <c r="P264" s="188">
        <f>SUM(P265:P267)</f>
        <v>0</v>
      </c>
      <c r="Q264" s="188"/>
      <c r="R264" s="188"/>
      <c r="S264" s="183">
        <f t="shared" si="426"/>
        <v>825400</v>
      </c>
      <c r="T264" s="184">
        <f>D264+H264+L264+P264</f>
        <v>825400</v>
      </c>
      <c r="U264" s="184">
        <f>SUM(E264,I264,M264,)</f>
        <v>439500</v>
      </c>
      <c r="V264" s="369">
        <f t="shared" ref="V264:V273" si="435">F264+J264+N264+R264</f>
        <v>0</v>
      </c>
    </row>
    <row r="265" spans="1:23" ht="15.75" customHeight="1" x14ac:dyDescent="0.2">
      <c r="A265" s="330" t="s">
        <v>69</v>
      </c>
      <c r="B265" s="357" t="s">
        <v>381</v>
      </c>
      <c r="C265" s="185">
        <f t="shared" ref="C265:C267" si="436">D265+F265</f>
        <v>294000</v>
      </c>
      <c r="D265" s="192">
        <v>294000</v>
      </c>
      <c r="E265" s="235"/>
      <c r="F265" s="230"/>
      <c r="G265" s="360">
        <f t="shared" ref="G265:G267" si="437">H265+J265</f>
        <v>0</v>
      </c>
      <c r="H265" s="235"/>
      <c r="I265" s="235"/>
      <c r="J265" s="238"/>
      <c r="K265" s="234">
        <f t="shared" ref="K265:K267" si="438">L265+N265</f>
        <v>0</v>
      </c>
      <c r="L265" s="235"/>
      <c r="M265" s="235"/>
      <c r="N265" s="236"/>
      <c r="O265" s="237"/>
      <c r="P265" s="235"/>
      <c r="Q265" s="235"/>
      <c r="R265" s="238"/>
      <c r="S265" s="183">
        <f t="shared" ref="S265:S267" si="439">T265+V265</f>
        <v>294000</v>
      </c>
      <c r="T265" s="186">
        <f>D265+H265+L265+P265</f>
        <v>294000</v>
      </c>
      <c r="U265" s="186">
        <f>E265+I265+M265+Q265</f>
        <v>0</v>
      </c>
      <c r="V265" s="300">
        <f t="shared" si="435"/>
        <v>0</v>
      </c>
    </row>
    <row r="266" spans="1:23" ht="24.75" customHeight="1" x14ac:dyDescent="0.2">
      <c r="A266" s="330" t="s">
        <v>69</v>
      </c>
      <c r="B266" s="362" t="s">
        <v>300</v>
      </c>
      <c r="C266" s="185">
        <f t="shared" si="436"/>
        <v>0</v>
      </c>
      <c r="D266" s="187"/>
      <c r="E266" s="187"/>
      <c r="F266" s="230"/>
      <c r="G266" s="221">
        <f>H266+J266</f>
        <v>8400</v>
      </c>
      <c r="H266" s="187">
        <v>8400</v>
      </c>
      <c r="I266" s="187">
        <v>7000</v>
      </c>
      <c r="J266" s="238"/>
      <c r="K266" s="234">
        <f>L266+N266</f>
        <v>0</v>
      </c>
      <c r="L266" s="235"/>
      <c r="M266" s="235"/>
      <c r="N266" s="236"/>
      <c r="O266" s="237"/>
      <c r="P266" s="235"/>
      <c r="Q266" s="235"/>
      <c r="R266" s="238"/>
      <c r="S266" s="185">
        <f t="shared" si="439"/>
        <v>8400</v>
      </c>
      <c r="T266" s="186">
        <f t="shared" ref="T266:T267" si="440">D266+H266+L266+P266</f>
        <v>8400</v>
      </c>
      <c r="U266" s="186">
        <f t="shared" ref="U266:U267" si="441">E266+I266+M266+Q266</f>
        <v>7000</v>
      </c>
      <c r="V266" s="300">
        <f t="shared" si="435"/>
        <v>0</v>
      </c>
    </row>
    <row r="267" spans="1:23" ht="15.75" customHeight="1" x14ac:dyDescent="0.2">
      <c r="A267" s="330" t="s">
        <v>69</v>
      </c>
      <c r="B267" s="344" t="s">
        <v>182</v>
      </c>
      <c r="C267" s="185">
        <f t="shared" si="436"/>
        <v>483000</v>
      </c>
      <c r="D267" s="187">
        <f>256000+227000</f>
        <v>483000</v>
      </c>
      <c r="E267" s="187">
        <f>235000+197500</f>
        <v>432500</v>
      </c>
      <c r="F267" s="236"/>
      <c r="G267" s="360">
        <f t="shared" si="437"/>
        <v>0</v>
      </c>
      <c r="H267" s="235"/>
      <c r="I267" s="235"/>
      <c r="J267" s="238"/>
      <c r="K267" s="185">
        <f t="shared" si="438"/>
        <v>40000</v>
      </c>
      <c r="L267" s="187">
        <v>40000</v>
      </c>
      <c r="M267" s="235"/>
      <c r="N267" s="236"/>
      <c r="O267" s="237"/>
      <c r="P267" s="235"/>
      <c r="Q267" s="235"/>
      <c r="R267" s="238"/>
      <c r="S267" s="183">
        <f t="shared" si="439"/>
        <v>523000</v>
      </c>
      <c r="T267" s="186">
        <f t="shared" si="440"/>
        <v>523000</v>
      </c>
      <c r="U267" s="186">
        <f t="shared" si="441"/>
        <v>432500</v>
      </c>
      <c r="V267" s="300">
        <f t="shared" si="435"/>
        <v>0</v>
      </c>
    </row>
    <row r="268" spans="1:23" ht="15.75" customHeight="1" x14ac:dyDescent="0.2">
      <c r="A268" s="329"/>
      <c r="B268" s="370" t="s">
        <v>379</v>
      </c>
      <c r="C268" s="183">
        <f t="shared" si="396"/>
        <v>1183000</v>
      </c>
      <c r="D268" s="188">
        <f>SUM(D269:D276)</f>
        <v>1183000</v>
      </c>
      <c r="E268" s="188">
        <f>SUM(E269:E276)</f>
        <v>585100</v>
      </c>
      <c r="F268" s="252">
        <f>SUM(F269:F276)</f>
        <v>0</v>
      </c>
      <c r="G268" s="246">
        <f t="shared" si="413"/>
        <v>254200</v>
      </c>
      <c r="H268" s="188">
        <f>SUM(H269:H276)</f>
        <v>254200</v>
      </c>
      <c r="I268" s="188">
        <f>SUM(I269:I276)</f>
        <v>246100</v>
      </c>
      <c r="J268" s="188">
        <f>SUM(J269:J276)</f>
        <v>0</v>
      </c>
      <c r="K268" s="183">
        <f t="shared" si="414"/>
        <v>96668.13</v>
      </c>
      <c r="L268" s="188">
        <f>SUM(L269:L276)</f>
        <v>94568.13</v>
      </c>
      <c r="M268" s="188">
        <f>SUM(M269:M276)</f>
        <v>13100</v>
      </c>
      <c r="N268" s="252">
        <f>SUM(N269:N276)</f>
        <v>2100</v>
      </c>
      <c r="O268" s="366"/>
      <c r="P268" s="188">
        <f>SUM(P269:P276)</f>
        <v>0</v>
      </c>
      <c r="Q268" s="188">
        <f>SUM(Q269:Q276)</f>
        <v>0</v>
      </c>
      <c r="R268" s="188">
        <f>SUM(R269:R276)</f>
        <v>0</v>
      </c>
      <c r="S268" s="183">
        <f t="shared" si="426"/>
        <v>1533868.13</v>
      </c>
      <c r="T268" s="184">
        <f>D268+H268+L268+P268</f>
        <v>1531768.13</v>
      </c>
      <c r="U268" s="184">
        <f>E268+I268+M268+Q268</f>
        <v>844300</v>
      </c>
      <c r="V268" s="369">
        <f t="shared" si="435"/>
        <v>2100</v>
      </c>
    </row>
    <row r="269" spans="1:23" ht="25.5" x14ac:dyDescent="0.2">
      <c r="A269" s="330" t="s">
        <v>71</v>
      </c>
      <c r="B269" s="371" t="s">
        <v>291</v>
      </c>
      <c r="C269" s="185">
        <f t="shared" si="396"/>
        <v>516000</v>
      </c>
      <c r="D269" s="187">
        <v>516000</v>
      </c>
      <c r="E269" s="187"/>
      <c r="F269" s="230"/>
      <c r="G269" s="185">
        <f t="shared" si="413"/>
        <v>0</v>
      </c>
      <c r="H269" s="187"/>
      <c r="I269" s="187"/>
      <c r="J269" s="327"/>
      <c r="K269" s="185">
        <f t="shared" si="414"/>
        <v>0</v>
      </c>
      <c r="L269" s="187"/>
      <c r="M269" s="235"/>
      <c r="N269" s="236"/>
      <c r="O269" s="366"/>
      <c r="P269" s="235"/>
      <c r="Q269" s="235"/>
      <c r="R269" s="238"/>
      <c r="S269" s="185">
        <f t="shared" si="426"/>
        <v>516000</v>
      </c>
      <c r="T269" s="186">
        <f>D269+H269+L269+P269</f>
        <v>516000</v>
      </c>
      <c r="U269" s="186">
        <f>E269+I269+M269+Q269</f>
        <v>0</v>
      </c>
      <c r="V269" s="300">
        <f t="shared" si="435"/>
        <v>0</v>
      </c>
    </row>
    <row r="270" spans="1:23" x14ac:dyDescent="0.2">
      <c r="A270" s="330" t="s">
        <v>71</v>
      </c>
      <c r="B270" s="372" t="s">
        <v>297</v>
      </c>
      <c r="C270" s="185">
        <f t="shared" si="396"/>
        <v>800</v>
      </c>
      <c r="D270" s="187">
        <v>800</v>
      </c>
      <c r="E270" s="187"/>
      <c r="F270" s="230"/>
      <c r="G270" s="185">
        <f t="shared" si="413"/>
        <v>0</v>
      </c>
      <c r="H270" s="187"/>
      <c r="I270" s="187"/>
      <c r="J270" s="327"/>
      <c r="K270" s="185">
        <f t="shared" si="414"/>
        <v>0</v>
      </c>
      <c r="L270" s="187"/>
      <c r="M270" s="235"/>
      <c r="N270" s="236"/>
      <c r="O270" s="366"/>
      <c r="P270" s="235"/>
      <c r="Q270" s="235"/>
      <c r="R270" s="238"/>
      <c r="S270" s="185">
        <f t="shared" si="426"/>
        <v>800</v>
      </c>
      <c r="T270" s="186">
        <f t="shared" ref="T270:T276" si="442">D270+H270+L270+P270</f>
        <v>800</v>
      </c>
      <c r="U270" s="186">
        <f t="shared" ref="U270:U277" si="443">E270+I270+M270+Q270</f>
        <v>0</v>
      </c>
      <c r="V270" s="300">
        <f t="shared" si="435"/>
        <v>0</v>
      </c>
    </row>
    <row r="271" spans="1:23" x14ac:dyDescent="0.2">
      <c r="A271" s="330" t="s">
        <v>69</v>
      </c>
      <c r="B271" s="372" t="s">
        <v>380</v>
      </c>
      <c r="C271" s="185">
        <f t="shared" si="396"/>
        <v>9800</v>
      </c>
      <c r="D271" s="187">
        <v>9800</v>
      </c>
      <c r="E271" s="187"/>
      <c r="F271" s="230"/>
      <c r="G271" s="185">
        <f t="shared" si="413"/>
        <v>0</v>
      </c>
      <c r="H271" s="187"/>
      <c r="I271" s="187"/>
      <c r="J271" s="327"/>
      <c r="K271" s="185">
        <f t="shared" si="414"/>
        <v>0</v>
      </c>
      <c r="L271" s="187"/>
      <c r="M271" s="235"/>
      <c r="N271" s="236"/>
      <c r="O271" s="373"/>
      <c r="P271" s="235"/>
      <c r="Q271" s="235"/>
      <c r="R271" s="238"/>
      <c r="S271" s="185">
        <f t="shared" si="426"/>
        <v>9800</v>
      </c>
      <c r="T271" s="186">
        <f t="shared" si="442"/>
        <v>9800</v>
      </c>
      <c r="U271" s="186">
        <f t="shared" si="443"/>
        <v>0</v>
      </c>
      <c r="V271" s="300">
        <f t="shared" si="435"/>
        <v>0</v>
      </c>
    </row>
    <row r="272" spans="1:23" x14ac:dyDescent="0.2">
      <c r="A272" s="330" t="s">
        <v>69</v>
      </c>
      <c r="B272" s="372" t="s">
        <v>298</v>
      </c>
      <c r="C272" s="185">
        <f t="shared" si="396"/>
        <v>23600</v>
      </c>
      <c r="D272" s="187">
        <v>23600</v>
      </c>
      <c r="E272" s="187"/>
      <c r="F272" s="230"/>
      <c r="G272" s="185">
        <f t="shared" si="413"/>
        <v>0</v>
      </c>
      <c r="H272" s="187"/>
      <c r="I272" s="187"/>
      <c r="J272" s="327"/>
      <c r="K272" s="185">
        <f t="shared" si="414"/>
        <v>0</v>
      </c>
      <c r="L272" s="187"/>
      <c r="M272" s="235"/>
      <c r="N272" s="236"/>
      <c r="O272" s="366"/>
      <c r="P272" s="235"/>
      <c r="Q272" s="235"/>
      <c r="R272" s="238"/>
      <c r="S272" s="185">
        <f t="shared" si="426"/>
        <v>23600</v>
      </c>
      <c r="T272" s="186">
        <f t="shared" si="442"/>
        <v>23600</v>
      </c>
      <c r="U272" s="186">
        <f t="shared" si="443"/>
        <v>0</v>
      </c>
      <c r="V272" s="300">
        <f t="shared" si="435"/>
        <v>0</v>
      </c>
    </row>
    <row r="273" spans="1:23" x14ac:dyDescent="0.2">
      <c r="A273" s="330" t="s">
        <v>69</v>
      </c>
      <c r="B273" s="372" t="s">
        <v>299</v>
      </c>
      <c r="C273" s="185">
        <f t="shared" si="396"/>
        <v>632800</v>
      </c>
      <c r="D273" s="187">
        <f>339500+293300</f>
        <v>632800</v>
      </c>
      <c r="E273" s="187">
        <f>304200+280900</f>
        <v>585100</v>
      </c>
      <c r="F273" s="230"/>
      <c r="G273" s="185">
        <f t="shared" si="413"/>
        <v>0</v>
      </c>
      <c r="H273" s="187"/>
      <c r="I273" s="187"/>
      <c r="J273" s="327"/>
      <c r="K273" s="185">
        <f t="shared" si="414"/>
        <v>92000</v>
      </c>
      <c r="L273" s="187">
        <v>89900</v>
      </c>
      <c r="M273" s="187">
        <v>13100</v>
      </c>
      <c r="N273" s="230">
        <v>2100</v>
      </c>
      <c r="O273" s="366"/>
      <c r="P273" s="235"/>
      <c r="Q273" s="235"/>
      <c r="R273" s="238"/>
      <c r="S273" s="185">
        <f t="shared" si="426"/>
        <v>724800</v>
      </c>
      <c r="T273" s="186">
        <f t="shared" si="442"/>
        <v>722700</v>
      </c>
      <c r="U273" s="186">
        <f t="shared" si="443"/>
        <v>598200</v>
      </c>
      <c r="V273" s="300">
        <f t="shared" si="435"/>
        <v>2100</v>
      </c>
    </row>
    <row r="274" spans="1:23" x14ac:dyDescent="0.2">
      <c r="A274" s="330" t="s">
        <v>69</v>
      </c>
      <c r="B274" s="367" t="s">
        <v>484</v>
      </c>
      <c r="C274" s="185"/>
      <c r="D274" s="187"/>
      <c r="E274" s="187"/>
      <c r="F274" s="230"/>
      <c r="G274" s="185"/>
      <c r="H274" s="187"/>
      <c r="I274" s="187"/>
      <c r="J274" s="327"/>
      <c r="K274" s="185">
        <f t="shared" si="414"/>
        <v>4668.13</v>
      </c>
      <c r="L274" s="187">
        <v>4668.13</v>
      </c>
      <c r="M274" s="187"/>
      <c r="N274" s="230"/>
      <c r="O274" s="441"/>
      <c r="P274" s="235"/>
      <c r="Q274" s="235"/>
      <c r="R274" s="238"/>
      <c r="S274" s="185">
        <f t="shared" si="426"/>
        <v>4668.13</v>
      </c>
      <c r="T274" s="186">
        <f t="shared" si="442"/>
        <v>4668.13</v>
      </c>
      <c r="U274" s="186">
        <f t="shared" si="443"/>
        <v>0</v>
      </c>
      <c r="V274" s="300"/>
    </row>
    <row r="275" spans="1:23" ht="25.5" x14ac:dyDescent="0.2">
      <c r="A275" s="330" t="s">
        <v>69</v>
      </c>
      <c r="B275" s="362" t="s">
        <v>430</v>
      </c>
      <c r="C275" s="185">
        <f t="shared" ref="C275" si="444">D275+F275</f>
        <v>0</v>
      </c>
      <c r="D275" s="187"/>
      <c r="E275" s="187"/>
      <c r="F275" s="230"/>
      <c r="G275" s="185">
        <f t="shared" ref="G275" si="445">H275+J275</f>
        <v>249000</v>
      </c>
      <c r="H275" s="187">
        <v>249000</v>
      </c>
      <c r="I275" s="187">
        <v>241000</v>
      </c>
      <c r="J275" s="327"/>
      <c r="K275" s="185">
        <f t="shared" ref="K275" si="446">L275+N275</f>
        <v>0</v>
      </c>
      <c r="L275" s="187"/>
      <c r="M275" s="187"/>
      <c r="N275" s="230"/>
      <c r="O275" s="366"/>
      <c r="P275" s="235"/>
      <c r="Q275" s="235"/>
      <c r="R275" s="238"/>
      <c r="S275" s="185">
        <f t="shared" ref="S275" si="447">T275+V275</f>
        <v>249000</v>
      </c>
      <c r="T275" s="186">
        <f t="shared" si="442"/>
        <v>249000</v>
      </c>
      <c r="U275" s="186">
        <f t="shared" si="443"/>
        <v>241000</v>
      </c>
      <c r="V275" s="300">
        <f>F275+J275+N275+R275</f>
        <v>0</v>
      </c>
    </row>
    <row r="276" spans="1:23" ht="25.5" x14ac:dyDescent="0.2">
      <c r="A276" s="330" t="s">
        <v>69</v>
      </c>
      <c r="B276" s="362" t="s">
        <v>300</v>
      </c>
      <c r="C276" s="185">
        <f t="shared" si="396"/>
        <v>0</v>
      </c>
      <c r="D276" s="187"/>
      <c r="E276" s="187"/>
      <c r="F276" s="230"/>
      <c r="G276" s="185">
        <f t="shared" si="413"/>
        <v>5200</v>
      </c>
      <c r="H276" s="187">
        <v>5200</v>
      </c>
      <c r="I276" s="187">
        <v>5100</v>
      </c>
      <c r="J276" s="327"/>
      <c r="K276" s="185">
        <f t="shared" si="414"/>
        <v>0</v>
      </c>
      <c r="L276" s="187"/>
      <c r="M276" s="187"/>
      <c r="N276" s="230"/>
      <c r="O276" s="366"/>
      <c r="P276" s="235"/>
      <c r="Q276" s="235"/>
      <c r="R276" s="238"/>
      <c r="S276" s="185">
        <f t="shared" si="426"/>
        <v>5200</v>
      </c>
      <c r="T276" s="186">
        <f t="shared" si="442"/>
        <v>5200</v>
      </c>
      <c r="U276" s="186">
        <f t="shared" si="443"/>
        <v>5100</v>
      </c>
      <c r="V276" s="300">
        <f>F276+J276+N276+R276</f>
        <v>0</v>
      </c>
    </row>
    <row r="277" spans="1:23" x14ac:dyDescent="0.2">
      <c r="A277" s="330" t="s">
        <v>69</v>
      </c>
      <c r="B277" s="355" t="s">
        <v>400</v>
      </c>
      <c r="C277" s="183">
        <f t="shared" si="396"/>
        <v>1600</v>
      </c>
      <c r="D277" s="188">
        <v>1600</v>
      </c>
      <c r="E277" s="188"/>
      <c r="F277" s="252"/>
      <c r="G277" s="246">
        <f t="shared" si="413"/>
        <v>19500</v>
      </c>
      <c r="H277" s="188">
        <v>19500</v>
      </c>
      <c r="I277" s="188">
        <v>600</v>
      </c>
      <c r="J277" s="359"/>
      <c r="K277" s="183">
        <f t="shared" si="414"/>
        <v>0</v>
      </c>
      <c r="L277" s="188"/>
      <c r="M277" s="188"/>
      <c r="N277" s="252"/>
      <c r="O277" s="441"/>
      <c r="P277" s="188"/>
      <c r="Q277" s="188"/>
      <c r="R277" s="359"/>
      <c r="S277" s="183">
        <f t="shared" si="426"/>
        <v>21100</v>
      </c>
      <c r="T277" s="184">
        <f>D277+H277+L277+P277</f>
        <v>21100</v>
      </c>
      <c r="U277" s="184">
        <f t="shared" si="443"/>
        <v>600</v>
      </c>
      <c r="V277" s="252">
        <f t="shared" ref="V277" si="448">F277+J277+N277+R277</f>
        <v>0</v>
      </c>
      <c r="W277" s="146"/>
    </row>
    <row r="278" spans="1:23" ht="25.5" x14ac:dyDescent="0.2">
      <c r="A278" s="330" t="s">
        <v>69</v>
      </c>
      <c r="B278" s="355" t="s">
        <v>398</v>
      </c>
      <c r="C278" s="183">
        <f t="shared" si="396"/>
        <v>5200</v>
      </c>
      <c r="D278" s="188">
        <v>5200</v>
      </c>
      <c r="E278" s="188"/>
      <c r="F278" s="252"/>
      <c r="G278" s="246">
        <f t="shared" si="413"/>
        <v>35100</v>
      </c>
      <c r="H278" s="188">
        <v>35100</v>
      </c>
      <c r="I278" s="188">
        <v>1100</v>
      </c>
      <c r="J278" s="359"/>
      <c r="K278" s="183">
        <f t="shared" si="414"/>
        <v>0</v>
      </c>
      <c r="L278" s="188"/>
      <c r="M278" s="188"/>
      <c r="N278" s="252"/>
      <c r="O278" s="237"/>
      <c r="P278" s="188"/>
      <c r="Q278" s="188"/>
      <c r="R278" s="359"/>
      <c r="S278" s="183">
        <f t="shared" si="426"/>
        <v>40300</v>
      </c>
      <c r="T278" s="184">
        <f t="shared" ref="T278:T288" si="449">D278+H278+L278+P278</f>
        <v>40300</v>
      </c>
      <c r="U278" s="184">
        <f t="shared" ref="U278:U289" si="450">E278+I278+M278+Q278</f>
        <v>1100</v>
      </c>
      <c r="V278" s="252">
        <f t="shared" ref="V278:V289" si="451">F278+J278+N278+R278</f>
        <v>0</v>
      </c>
    </row>
    <row r="279" spans="1:23" x14ac:dyDescent="0.2">
      <c r="A279" s="330" t="s">
        <v>69</v>
      </c>
      <c r="B279" s="355" t="s">
        <v>242</v>
      </c>
      <c r="C279" s="183">
        <f t="shared" si="396"/>
        <v>5800</v>
      </c>
      <c r="D279" s="188">
        <v>5800</v>
      </c>
      <c r="E279" s="188"/>
      <c r="F279" s="252"/>
      <c r="G279" s="246">
        <f t="shared" si="413"/>
        <v>47700</v>
      </c>
      <c r="H279" s="188">
        <v>47700</v>
      </c>
      <c r="I279" s="188">
        <v>1500</v>
      </c>
      <c r="J279" s="359"/>
      <c r="K279" s="183">
        <f t="shared" si="414"/>
        <v>0</v>
      </c>
      <c r="L279" s="188"/>
      <c r="M279" s="188"/>
      <c r="N279" s="252"/>
      <c r="O279" s="339">
        <f t="shared" si="415"/>
        <v>0</v>
      </c>
      <c r="P279" s="188"/>
      <c r="Q279" s="188"/>
      <c r="R279" s="359"/>
      <c r="S279" s="183">
        <f t="shared" si="426"/>
        <v>53500</v>
      </c>
      <c r="T279" s="184">
        <f t="shared" si="449"/>
        <v>53500</v>
      </c>
      <c r="U279" s="184">
        <f t="shared" si="450"/>
        <v>1500</v>
      </c>
      <c r="V279" s="252">
        <f t="shared" si="451"/>
        <v>0</v>
      </c>
    </row>
    <row r="280" spans="1:23" x14ac:dyDescent="0.2">
      <c r="A280" s="330" t="s">
        <v>69</v>
      </c>
      <c r="B280" s="355" t="s">
        <v>244</v>
      </c>
      <c r="C280" s="183">
        <f t="shared" si="396"/>
        <v>3700</v>
      </c>
      <c r="D280" s="188">
        <v>3700</v>
      </c>
      <c r="E280" s="188"/>
      <c r="F280" s="252"/>
      <c r="G280" s="246">
        <f t="shared" si="413"/>
        <v>30100</v>
      </c>
      <c r="H280" s="188">
        <v>30100</v>
      </c>
      <c r="I280" s="188">
        <v>900</v>
      </c>
      <c r="J280" s="359"/>
      <c r="K280" s="183">
        <f t="shared" si="414"/>
        <v>0</v>
      </c>
      <c r="L280" s="188"/>
      <c r="M280" s="188"/>
      <c r="N280" s="252"/>
      <c r="O280" s="246">
        <f t="shared" si="415"/>
        <v>0</v>
      </c>
      <c r="P280" s="188"/>
      <c r="Q280" s="188"/>
      <c r="R280" s="359"/>
      <c r="S280" s="183">
        <f t="shared" si="426"/>
        <v>33800</v>
      </c>
      <c r="T280" s="184">
        <f t="shared" si="449"/>
        <v>33800</v>
      </c>
      <c r="U280" s="184">
        <f t="shared" si="450"/>
        <v>900</v>
      </c>
      <c r="V280" s="252">
        <f t="shared" si="451"/>
        <v>0</v>
      </c>
    </row>
    <row r="281" spans="1:23" ht="25.5" x14ac:dyDescent="0.2">
      <c r="A281" s="330" t="s">
        <v>69</v>
      </c>
      <c r="B281" s="355" t="s">
        <v>338</v>
      </c>
      <c r="C281" s="183">
        <f t="shared" si="396"/>
        <v>3800</v>
      </c>
      <c r="D281" s="188">
        <v>3800</v>
      </c>
      <c r="E281" s="188"/>
      <c r="F281" s="252"/>
      <c r="G281" s="246">
        <f t="shared" si="413"/>
        <v>45900</v>
      </c>
      <c r="H281" s="188">
        <v>45900</v>
      </c>
      <c r="I281" s="188">
        <v>1400</v>
      </c>
      <c r="J281" s="359"/>
      <c r="K281" s="183">
        <f t="shared" si="414"/>
        <v>0</v>
      </c>
      <c r="L281" s="188"/>
      <c r="M281" s="188"/>
      <c r="N281" s="252"/>
      <c r="O281" s="246">
        <f t="shared" si="415"/>
        <v>0</v>
      </c>
      <c r="P281" s="188"/>
      <c r="Q281" s="188"/>
      <c r="R281" s="359"/>
      <c r="S281" s="183">
        <f t="shared" si="426"/>
        <v>49700</v>
      </c>
      <c r="T281" s="184">
        <f t="shared" si="449"/>
        <v>49700</v>
      </c>
      <c r="U281" s="184">
        <f t="shared" si="450"/>
        <v>1400</v>
      </c>
      <c r="V281" s="369">
        <f t="shared" si="451"/>
        <v>0</v>
      </c>
      <c r="W281" s="150"/>
    </row>
    <row r="282" spans="1:23" x14ac:dyDescent="0.2">
      <c r="A282" s="330" t="s">
        <v>69</v>
      </c>
      <c r="B282" s="355" t="s">
        <v>371</v>
      </c>
      <c r="C282" s="183">
        <f t="shared" si="396"/>
        <v>2100</v>
      </c>
      <c r="D282" s="188">
        <v>2100</v>
      </c>
      <c r="E282" s="188"/>
      <c r="F282" s="252"/>
      <c r="G282" s="246">
        <f t="shared" si="413"/>
        <v>25600</v>
      </c>
      <c r="H282" s="188">
        <v>25600</v>
      </c>
      <c r="I282" s="188">
        <v>700</v>
      </c>
      <c r="J282" s="359"/>
      <c r="K282" s="183">
        <f t="shared" si="414"/>
        <v>0</v>
      </c>
      <c r="L282" s="188"/>
      <c r="M282" s="188"/>
      <c r="N282" s="252"/>
      <c r="O282" s="246">
        <f t="shared" si="415"/>
        <v>0</v>
      </c>
      <c r="P282" s="188"/>
      <c r="Q282" s="188"/>
      <c r="R282" s="359"/>
      <c r="S282" s="183">
        <f t="shared" si="426"/>
        <v>27700</v>
      </c>
      <c r="T282" s="184">
        <f t="shared" si="449"/>
        <v>27700</v>
      </c>
      <c r="U282" s="184">
        <f t="shared" si="450"/>
        <v>700</v>
      </c>
      <c r="V282" s="252">
        <f t="shared" si="451"/>
        <v>0</v>
      </c>
    </row>
    <row r="283" spans="1:23" ht="25.5" x14ac:dyDescent="0.2">
      <c r="A283" s="330" t="s">
        <v>69</v>
      </c>
      <c r="B283" s="355" t="s">
        <v>370</v>
      </c>
      <c r="C283" s="183">
        <f t="shared" si="396"/>
        <v>1100</v>
      </c>
      <c r="D283" s="188">
        <v>1100</v>
      </c>
      <c r="E283" s="188"/>
      <c r="F283" s="252"/>
      <c r="G283" s="246">
        <f t="shared" si="413"/>
        <v>13200</v>
      </c>
      <c r="H283" s="188">
        <v>13200</v>
      </c>
      <c r="I283" s="188">
        <v>400</v>
      </c>
      <c r="J283" s="359"/>
      <c r="K283" s="183">
        <f t="shared" si="414"/>
        <v>0</v>
      </c>
      <c r="L283" s="188"/>
      <c r="M283" s="188"/>
      <c r="N283" s="252"/>
      <c r="O283" s="246">
        <f t="shared" si="415"/>
        <v>0</v>
      </c>
      <c r="P283" s="188"/>
      <c r="Q283" s="188"/>
      <c r="R283" s="359"/>
      <c r="S283" s="183">
        <f t="shared" si="426"/>
        <v>14300</v>
      </c>
      <c r="T283" s="184">
        <f t="shared" si="449"/>
        <v>14300</v>
      </c>
      <c r="U283" s="184">
        <f t="shared" si="450"/>
        <v>400</v>
      </c>
      <c r="V283" s="369">
        <f t="shared" si="451"/>
        <v>0</v>
      </c>
      <c r="W283" s="150"/>
    </row>
    <row r="284" spans="1:23" x14ac:dyDescent="0.2">
      <c r="A284" s="330" t="s">
        <v>69</v>
      </c>
      <c r="B284" s="355" t="s">
        <v>251</v>
      </c>
      <c r="C284" s="183">
        <f t="shared" si="396"/>
        <v>300</v>
      </c>
      <c r="D284" s="188">
        <v>300</v>
      </c>
      <c r="E284" s="188"/>
      <c r="F284" s="252"/>
      <c r="G284" s="246">
        <f t="shared" si="413"/>
        <v>52200</v>
      </c>
      <c r="H284" s="188">
        <v>52200</v>
      </c>
      <c r="I284" s="188">
        <v>1500</v>
      </c>
      <c r="J284" s="359"/>
      <c r="K284" s="183">
        <f t="shared" si="414"/>
        <v>0</v>
      </c>
      <c r="L284" s="188"/>
      <c r="M284" s="188"/>
      <c r="N284" s="252"/>
      <c r="O284" s="246">
        <f t="shared" si="415"/>
        <v>0</v>
      </c>
      <c r="P284" s="188"/>
      <c r="Q284" s="188"/>
      <c r="R284" s="359"/>
      <c r="S284" s="183">
        <f t="shared" si="426"/>
        <v>52500</v>
      </c>
      <c r="T284" s="184">
        <f t="shared" si="449"/>
        <v>52500</v>
      </c>
      <c r="U284" s="184">
        <f t="shared" si="450"/>
        <v>1500</v>
      </c>
      <c r="V284" s="369">
        <f t="shared" si="451"/>
        <v>0</v>
      </c>
      <c r="W284" s="150"/>
    </row>
    <row r="285" spans="1:23" x14ac:dyDescent="0.2">
      <c r="A285" s="330" t="s">
        <v>69</v>
      </c>
      <c r="B285" s="355" t="s">
        <v>253</v>
      </c>
      <c r="C285" s="183">
        <f t="shared" si="396"/>
        <v>3000</v>
      </c>
      <c r="D285" s="188">
        <v>3000</v>
      </c>
      <c r="E285" s="188"/>
      <c r="F285" s="252"/>
      <c r="G285" s="246">
        <f t="shared" si="413"/>
        <v>50200</v>
      </c>
      <c r="H285" s="188">
        <v>50200</v>
      </c>
      <c r="I285" s="188">
        <v>1500</v>
      </c>
      <c r="J285" s="359"/>
      <c r="K285" s="183">
        <f t="shared" si="414"/>
        <v>0</v>
      </c>
      <c r="L285" s="188"/>
      <c r="M285" s="188"/>
      <c r="N285" s="252"/>
      <c r="O285" s="246">
        <f t="shared" si="415"/>
        <v>0</v>
      </c>
      <c r="P285" s="188"/>
      <c r="Q285" s="188"/>
      <c r="R285" s="359"/>
      <c r="S285" s="183">
        <f t="shared" si="426"/>
        <v>53200</v>
      </c>
      <c r="T285" s="184">
        <f t="shared" si="449"/>
        <v>53200</v>
      </c>
      <c r="U285" s="184">
        <f t="shared" si="450"/>
        <v>1500</v>
      </c>
      <c r="V285" s="252">
        <f t="shared" si="451"/>
        <v>0</v>
      </c>
    </row>
    <row r="286" spans="1:23" x14ac:dyDescent="0.2">
      <c r="A286" s="330" t="s">
        <v>69</v>
      </c>
      <c r="B286" s="355" t="s">
        <v>255</v>
      </c>
      <c r="C286" s="183">
        <f t="shared" si="396"/>
        <v>2700</v>
      </c>
      <c r="D286" s="188">
        <v>2700</v>
      </c>
      <c r="E286" s="188"/>
      <c r="F286" s="252"/>
      <c r="G286" s="246">
        <f t="shared" si="413"/>
        <v>21700</v>
      </c>
      <c r="H286" s="188">
        <v>21700</v>
      </c>
      <c r="I286" s="188">
        <v>700</v>
      </c>
      <c r="J286" s="359"/>
      <c r="K286" s="183">
        <f t="shared" si="414"/>
        <v>0</v>
      </c>
      <c r="L286" s="188"/>
      <c r="M286" s="188"/>
      <c r="N286" s="252"/>
      <c r="O286" s="246">
        <f t="shared" si="415"/>
        <v>0</v>
      </c>
      <c r="P286" s="188"/>
      <c r="Q286" s="188"/>
      <c r="R286" s="359"/>
      <c r="S286" s="183">
        <f t="shared" si="426"/>
        <v>24400</v>
      </c>
      <c r="T286" s="184">
        <f t="shared" si="449"/>
        <v>24400</v>
      </c>
      <c r="U286" s="184">
        <f t="shared" si="450"/>
        <v>700</v>
      </c>
      <c r="V286" s="252">
        <f t="shared" si="451"/>
        <v>0</v>
      </c>
    </row>
    <row r="287" spans="1:23" x14ac:dyDescent="0.2">
      <c r="A287" s="330" t="s">
        <v>69</v>
      </c>
      <c r="B287" s="355" t="s">
        <v>257</v>
      </c>
      <c r="C287" s="183">
        <f t="shared" si="396"/>
        <v>2100</v>
      </c>
      <c r="D287" s="188">
        <v>2100</v>
      </c>
      <c r="E287" s="188"/>
      <c r="F287" s="252"/>
      <c r="G287" s="246">
        <f t="shared" si="413"/>
        <v>17200</v>
      </c>
      <c r="H287" s="188">
        <v>17200</v>
      </c>
      <c r="I287" s="188">
        <v>500</v>
      </c>
      <c r="J287" s="359"/>
      <c r="K287" s="183">
        <f t="shared" si="414"/>
        <v>0</v>
      </c>
      <c r="L287" s="188"/>
      <c r="M287" s="188"/>
      <c r="N287" s="252"/>
      <c r="O287" s="246">
        <f t="shared" si="415"/>
        <v>0</v>
      </c>
      <c r="P287" s="188"/>
      <c r="Q287" s="188"/>
      <c r="R287" s="359"/>
      <c r="S287" s="183">
        <f t="shared" si="426"/>
        <v>19300</v>
      </c>
      <c r="T287" s="184">
        <f t="shared" si="449"/>
        <v>19300</v>
      </c>
      <c r="U287" s="184">
        <f t="shared" si="450"/>
        <v>500</v>
      </c>
      <c r="V287" s="369">
        <f t="shared" si="451"/>
        <v>0</v>
      </c>
      <c r="W287" s="150"/>
    </row>
    <row r="288" spans="1:23" x14ac:dyDescent="0.2">
      <c r="A288" s="330"/>
      <c r="B288" s="355" t="s">
        <v>49</v>
      </c>
      <c r="C288" s="183">
        <f t="shared" si="396"/>
        <v>46800</v>
      </c>
      <c r="D288" s="188">
        <f>SUM(D289:D290)</f>
        <v>46800</v>
      </c>
      <c r="E288" s="188">
        <f t="shared" ref="E288:F288" si="452">SUM(E289:E290)</f>
        <v>39000</v>
      </c>
      <c r="F288" s="359">
        <f t="shared" si="452"/>
        <v>0</v>
      </c>
      <c r="G288" s="339">
        <f t="shared" si="413"/>
        <v>102500</v>
      </c>
      <c r="H288" s="188">
        <f>SUM(H289:H290)</f>
        <v>102500</v>
      </c>
      <c r="I288" s="188">
        <f t="shared" ref="I288" si="453">SUM(I289:I290)</f>
        <v>90300</v>
      </c>
      <c r="J288" s="188">
        <f t="shared" ref="J288" si="454">SUM(J289:J290)</f>
        <v>0</v>
      </c>
      <c r="K288" s="183">
        <f t="shared" si="414"/>
        <v>0</v>
      </c>
      <c r="L288" s="188">
        <f>SUM(L289:L290)</f>
        <v>0</v>
      </c>
      <c r="M288" s="188">
        <f t="shared" ref="M288" si="455">SUM(M289:M290)</f>
        <v>0</v>
      </c>
      <c r="N288" s="359">
        <f t="shared" ref="N288" si="456">SUM(N289:N290)</f>
        <v>0</v>
      </c>
      <c r="O288" s="339">
        <f t="shared" si="415"/>
        <v>0</v>
      </c>
      <c r="P288" s="188">
        <f>SUM(P289:P290)</f>
        <v>0</v>
      </c>
      <c r="Q288" s="188">
        <f t="shared" ref="Q288" si="457">SUM(Q289:Q290)</f>
        <v>0</v>
      </c>
      <c r="R288" s="188">
        <f t="shared" ref="R288" si="458">SUM(R289:R290)</f>
        <v>0</v>
      </c>
      <c r="S288" s="183">
        <f t="shared" si="426"/>
        <v>149300</v>
      </c>
      <c r="T288" s="184">
        <f t="shared" si="449"/>
        <v>149300</v>
      </c>
      <c r="U288" s="184">
        <f t="shared" si="450"/>
        <v>129300</v>
      </c>
      <c r="V288" s="369">
        <f t="shared" si="451"/>
        <v>0</v>
      </c>
      <c r="W288" s="150"/>
    </row>
    <row r="289" spans="1:25" x14ac:dyDescent="0.2">
      <c r="A289" s="330" t="s">
        <v>69</v>
      </c>
      <c r="B289" s="326" t="s">
        <v>301</v>
      </c>
      <c r="C289" s="183">
        <f t="shared" ref="C289:C290" si="459">D289+F289</f>
        <v>0</v>
      </c>
      <c r="D289" s="187"/>
      <c r="E289" s="187"/>
      <c r="F289" s="230"/>
      <c r="G289" s="185">
        <f t="shared" ref="G289:G290" si="460">H289+J289</f>
        <v>9700</v>
      </c>
      <c r="H289" s="187">
        <v>9700</v>
      </c>
      <c r="I289" s="187">
        <v>300</v>
      </c>
      <c r="J289" s="230"/>
      <c r="K289" s="183">
        <f t="shared" ref="K289:K290" si="461">L289+N289</f>
        <v>0</v>
      </c>
      <c r="L289" s="187"/>
      <c r="M289" s="187"/>
      <c r="N289" s="230"/>
      <c r="O289" s="183">
        <f t="shared" ref="O289:O290" si="462">P289+R289</f>
        <v>0</v>
      </c>
      <c r="P289" s="187"/>
      <c r="Q289" s="187"/>
      <c r="R289" s="230"/>
      <c r="S289" s="183">
        <f>T289+V289</f>
        <v>9700</v>
      </c>
      <c r="T289" s="186">
        <f>D289+H289+L289+P289</f>
        <v>9700</v>
      </c>
      <c r="U289" s="186">
        <f t="shared" si="450"/>
        <v>300</v>
      </c>
      <c r="V289" s="300">
        <f t="shared" si="451"/>
        <v>0</v>
      </c>
      <c r="W289" s="150"/>
    </row>
    <row r="290" spans="1:25" ht="25.5" x14ac:dyDescent="0.2">
      <c r="A290" s="330" t="s">
        <v>69</v>
      </c>
      <c r="B290" s="362" t="s">
        <v>300</v>
      </c>
      <c r="C290" s="185">
        <f t="shared" si="459"/>
        <v>46800</v>
      </c>
      <c r="D290" s="187">
        <v>46800</v>
      </c>
      <c r="E290" s="187">
        <f>8500+30500</f>
        <v>39000</v>
      </c>
      <c r="F290" s="230"/>
      <c r="G290" s="185">
        <f t="shared" si="460"/>
        <v>92800</v>
      </c>
      <c r="H290" s="187">
        <v>92800</v>
      </c>
      <c r="I290" s="187">
        <v>90000</v>
      </c>
      <c r="J290" s="230"/>
      <c r="K290" s="183">
        <f t="shared" si="461"/>
        <v>0</v>
      </c>
      <c r="L290" s="187"/>
      <c r="M290" s="187"/>
      <c r="N290" s="230"/>
      <c r="O290" s="183">
        <f t="shared" si="462"/>
        <v>0</v>
      </c>
      <c r="P290" s="187"/>
      <c r="Q290" s="187"/>
      <c r="R290" s="230"/>
      <c r="S290" s="183">
        <f>T290+V290</f>
        <v>139600</v>
      </c>
      <c r="T290" s="186">
        <f>D290+H290+L290+P290</f>
        <v>139600</v>
      </c>
      <c r="U290" s="186">
        <f t="shared" ref="U290:U291" si="463">E290+I290+M290+Q290</f>
        <v>129000</v>
      </c>
      <c r="V290" s="300">
        <f t="shared" ref="V290:V291" si="464">F290+J290+N290+R290</f>
        <v>0</v>
      </c>
      <c r="W290" s="150"/>
    </row>
    <row r="291" spans="1:25" ht="25.5" x14ac:dyDescent="0.2">
      <c r="A291" s="330" t="s">
        <v>69</v>
      </c>
      <c r="B291" s="355" t="s">
        <v>339</v>
      </c>
      <c r="C291" s="183">
        <f t="shared" si="396"/>
        <v>0</v>
      </c>
      <c r="D291" s="188"/>
      <c r="E291" s="188"/>
      <c r="F291" s="252"/>
      <c r="G291" s="246">
        <f t="shared" si="413"/>
        <v>6500</v>
      </c>
      <c r="H291" s="188">
        <v>6500</v>
      </c>
      <c r="I291" s="188">
        <v>200</v>
      </c>
      <c r="J291" s="359"/>
      <c r="K291" s="183">
        <f t="shared" si="414"/>
        <v>0</v>
      </c>
      <c r="L291" s="188"/>
      <c r="M291" s="188"/>
      <c r="N291" s="252"/>
      <c r="O291" s="246">
        <f t="shared" si="415"/>
        <v>0</v>
      </c>
      <c r="P291" s="188"/>
      <c r="Q291" s="188"/>
      <c r="R291" s="359"/>
      <c r="S291" s="183">
        <f t="shared" si="426"/>
        <v>6500</v>
      </c>
      <c r="T291" s="184">
        <f>D291+H291+L291+P291</f>
        <v>6500</v>
      </c>
      <c r="U291" s="184">
        <f t="shared" si="463"/>
        <v>200</v>
      </c>
      <c r="V291" s="252">
        <f t="shared" si="464"/>
        <v>0</v>
      </c>
    </row>
    <row r="292" spans="1:25" x14ac:dyDescent="0.2">
      <c r="A292" s="330" t="s">
        <v>69</v>
      </c>
      <c r="B292" s="355" t="s">
        <v>340</v>
      </c>
      <c r="C292" s="183">
        <f t="shared" si="396"/>
        <v>0</v>
      </c>
      <c r="D292" s="188"/>
      <c r="E292" s="188"/>
      <c r="F292" s="252"/>
      <c r="G292" s="246">
        <f t="shared" si="413"/>
        <v>11600</v>
      </c>
      <c r="H292" s="188">
        <v>11600</v>
      </c>
      <c r="I292" s="188">
        <v>300</v>
      </c>
      <c r="J292" s="359"/>
      <c r="K292" s="183">
        <f t="shared" si="414"/>
        <v>0</v>
      </c>
      <c r="L292" s="188"/>
      <c r="M292" s="188"/>
      <c r="N292" s="252"/>
      <c r="O292" s="246">
        <f t="shared" si="415"/>
        <v>0</v>
      </c>
      <c r="P292" s="188"/>
      <c r="Q292" s="188"/>
      <c r="R292" s="359"/>
      <c r="S292" s="183">
        <f t="shared" si="426"/>
        <v>11600</v>
      </c>
      <c r="T292" s="184">
        <f t="shared" ref="T292:T293" si="465">D292+H292+L292+P292</f>
        <v>11600</v>
      </c>
      <c r="U292" s="184">
        <f t="shared" ref="U292:U294" si="466">E292+I292+M292+Q292</f>
        <v>300</v>
      </c>
      <c r="V292" s="252">
        <f t="shared" ref="V292:V294" si="467">F292+J292+N292+R292</f>
        <v>0</v>
      </c>
    </row>
    <row r="293" spans="1:25" x14ac:dyDescent="0.2">
      <c r="A293" s="330"/>
      <c r="B293" s="355" t="s">
        <v>341</v>
      </c>
      <c r="C293" s="183">
        <f t="shared" si="396"/>
        <v>136500</v>
      </c>
      <c r="D293" s="188">
        <f>SUM(D294:D295)</f>
        <v>136500</v>
      </c>
      <c r="E293" s="188">
        <f>SUM(E294:E295)</f>
        <v>131400</v>
      </c>
      <c r="F293" s="188">
        <f>SUM(F294:F295)</f>
        <v>0</v>
      </c>
      <c r="G293" s="183">
        <f t="shared" si="413"/>
        <v>34900</v>
      </c>
      <c r="H293" s="188">
        <f>SUM(H294:H295)</f>
        <v>34900</v>
      </c>
      <c r="I293" s="188">
        <f>SUM(I294:I295)</f>
        <v>8400</v>
      </c>
      <c r="J293" s="188">
        <f>SUM(J294:J295)</f>
        <v>0</v>
      </c>
      <c r="K293" s="183">
        <f t="shared" si="414"/>
        <v>0</v>
      </c>
      <c r="L293" s="188">
        <f>SUM(L294:L295)</f>
        <v>0</v>
      </c>
      <c r="M293" s="188">
        <f>SUM(M294:M295)</f>
        <v>0</v>
      </c>
      <c r="N293" s="188">
        <f>SUM(N294:N295)</f>
        <v>0</v>
      </c>
      <c r="O293" s="183">
        <f t="shared" si="415"/>
        <v>0</v>
      </c>
      <c r="P293" s="188">
        <f>SUM(P294:P295)</f>
        <v>0</v>
      </c>
      <c r="Q293" s="188">
        <f>SUM(Q294:Q295)</f>
        <v>0</v>
      </c>
      <c r="R293" s="188">
        <f>SUM(R294:R295)</f>
        <v>0</v>
      </c>
      <c r="S293" s="183">
        <f t="shared" si="426"/>
        <v>171400</v>
      </c>
      <c r="T293" s="184">
        <f t="shared" si="465"/>
        <v>171400</v>
      </c>
      <c r="U293" s="184">
        <f t="shared" si="466"/>
        <v>139800</v>
      </c>
      <c r="V293" s="369">
        <f t="shared" si="467"/>
        <v>0</v>
      </c>
      <c r="W293" s="150"/>
    </row>
    <row r="294" spans="1:25" x14ac:dyDescent="0.2">
      <c r="A294" s="330" t="s">
        <v>69</v>
      </c>
      <c r="B294" s="326" t="s">
        <v>301</v>
      </c>
      <c r="C294" s="183">
        <f t="shared" si="396"/>
        <v>0</v>
      </c>
      <c r="D294" s="187"/>
      <c r="E294" s="187"/>
      <c r="F294" s="230"/>
      <c r="G294" s="185">
        <f t="shared" si="413"/>
        <v>14200</v>
      </c>
      <c r="H294" s="187">
        <v>14200</v>
      </c>
      <c r="I294" s="187">
        <v>400</v>
      </c>
      <c r="J294" s="230"/>
      <c r="K294" s="183">
        <f t="shared" si="414"/>
        <v>0</v>
      </c>
      <c r="L294" s="187"/>
      <c r="M294" s="187"/>
      <c r="N294" s="230"/>
      <c r="O294" s="183">
        <f t="shared" si="415"/>
        <v>0</v>
      </c>
      <c r="P294" s="187"/>
      <c r="Q294" s="187"/>
      <c r="R294" s="230"/>
      <c r="S294" s="183">
        <f>T294+V294</f>
        <v>14200</v>
      </c>
      <c r="T294" s="186">
        <f>D294+H294+L294+P294</f>
        <v>14200</v>
      </c>
      <c r="U294" s="186">
        <f t="shared" si="466"/>
        <v>400</v>
      </c>
      <c r="V294" s="230">
        <f t="shared" si="467"/>
        <v>0</v>
      </c>
    </row>
    <row r="295" spans="1:25" ht="25.5" x14ac:dyDescent="0.2">
      <c r="A295" s="330" t="s">
        <v>69</v>
      </c>
      <c r="B295" s="362" t="s">
        <v>300</v>
      </c>
      <c r="C295" s="185">
        <f t="shared" si="396"/>
        <v>136500</v>
      </c>
      <c r="D295" s="187">
        <f>89400+47100</f>
        <v>136500</v>
      </c>
      <c r="E295" s="187">
        <f>85000+46400</f>
        <v>131400</v>
      </c>
      <c r="F295" s="230"/>
      <c r="G295" s="185">
        <f t="shared" si="413"/>
        <v>20700</v>
      </c>
      <c r="H295" s="187">
        <v>20700</v>
      </c>
      <c r="I295" s="187">
        <v>8000</v>
      </c>
      <c r="J295" s="230"/>
      <c r="K295" s="183">
        <f t="shared" si="414"/>
        <v>0</v>
      </c>
      <c r="L295" s="187"/>
      <c r="M295" s="187"/>
      <c r="N295" s="230"/>
      <c r="O295" s="183">
        <f t="shared" si="415"/>
        <v>0</v>
      </c>
      <c r="P295" s="187"/>
      <c r="Q295" s="187"/>
      <c r="R295" s="230"/>
      <c r="S295" s="183">
        <f>T295+V295</f>
        <v>157200</v>
      </c>
      <c r="T295" s="186">
        <f>D295+H295+L295+P295</f>
        <v>157200</v>
      </c>
      <c r="U295" s="186">
        <f t="shared" ref="U295:U296" si="468">E295+I295+M295+Q295</f>
        <v>139400</v>
      </c>
      <c r="V295" s="300">
        <f t="shared" ref="V295:V296" si="469">F295+J295+N295+R295</f>
        <v>0</v>
      </c>
      <c r="W295" s="150"/>
    </row>
    <row r="296" spans="1:25" x14ac:dyDescent="0.2">
      <c r="A296" s="330" t="s">
        <v>69</v>
      </c>
      <c r="B296" s="355" t="s">
        <v>342</v>
      </c>
      <c r="C296" s="183">
        <f t="shared" si="396"/>
        <v>0</v>
      </c>
      <c r="D296" s="188"/>
      <c r="E296" s="188"/>
      <c r="F296" s="252"/>
      <c r="G296" s="246">
        <f t="shared" si="413"/>
        <v>7100</v>
      </c>
      <c r="H296" s="188">
        <v>7100</v>
      </c>
      <c r="I296" s="188">
        <v>200</v>
      </c>
      <c r="J296" s="359"/>
      <c r="K296" s="183">
        <f t="shared" si="414"/>
        <v>0</v>
      </c>
      <c r="L296" s="188"/>
      <c r="M296" s="188"/>
      <c r="N296" s="252"/>
      <c r="O296" s="246">
        <f t="shared" si="415"/>
        <v>0</v>
      </c>
      <c r="P296" s="188"/>
      <c r="Q296" s="188"/>
      <c r="R296" s="359"/>
      <c r="S296" s="183">
        <f t="shared" si="426"/>
        <v>7100</v>
      </c>
      <c r="T296" s="184">
        <f>D296+H296+L296+P296</f>
        <v>7100</v>
      </c>
      <c r="U296" s="184">
        <f t="shared" si="468"/>
        <v>200</v>
      </c>
      <c r="V296" s="369">
        <f t="shared" si="469"/>
        <v>0</v>
      </c>
      <c r="W296" s="150"/>
    </row>
    <row r="297" spans="1:25" ht="13.5" thickBot="1" x14ac:dyDescent="0.25">
      <c r="A297" s="330" t="s">
        <v>69</v>
      </c>
      <c r="B297" s="355" t="s">
        <v>343</v>
      </c>
      <c r="C297" s="183">
        <f t="shared" si="396"/>
        <v>0</v>
      </c>
      <c r="D297" s="188"/>
      <c r="E297" s="188"/>
      <c r="F297" s="252"/>
      <c r="G297" s="246">
        <f t="shared" si="413"/>
        <v>5700</v>
      </c>
      <c r="H297" s="188">
        <v>5700</v>
      </c>
      <c r="I297" s="188">
        <v>200</v>
      </c>
      <c r="J297" s="359"/>
      <c r="K297" s="183">
        <f t="shared" si="414"/>
        <v>0</v>
      </c>
      <c r="L297" s="188"/>
      <c r="M297" s="188"/>
      <c r="N297" s="252"/>
      <c r="O297" s="246">
        <f t="shared" si="415"/>
        <v>0</v>
      </c>
      <c r="P297" s="188"/>
      <c r="Q297" s="188"/>
      <c r="R297" s="359"/>
      <c r="S297" s="183">
        <f t="shared" si="426"/>
        <v>5700</v>
      </c>
      <c r="T297" s="184">
        <f>D297+H297+L297+P297</f>
        <v>5700</v>
      </c>
      <c r="U297" s="184">
        <f t="shared" ref="U297" si="470">E297+I297+M297+Q297</f>
        <v>200</v>
      </c>
      <c r="V297" s="369">
        <f t="shared" ref="V297" si="471">F297+J297+N297+R297</f>
        <v>0</v>
      </c>
      <c r="W297" s="150"/>
    </row>
    <row r="298" spans="1:25" ht="18" customHeight="1" thickBot="1" x14ac:dyDescent="0.25">
      <c r="A298" s="404"/>
      <c r="B298" s="331" t="s">
        <v>302</v>
      </c>
      <c r="C298" s="195">
        <f>D298+F298</f>
        <v>5010000</v>
      </c>
      <c r="D298" s="196">
        <f>SUM(D236,D259,D264,D268,D277,D278,D279,D280,D281,D282,D283,D284,D285,D286,D287,D288,D291,D292,D293,D296,D297)</f>
        <v>4915000</v>
      </c>
      <c r="E298" s="196">
        <f t="shared" ref="E298:F298" si="472">SUM(E236,E259,E264,E268,E277,E278,E279,E280,E281,E282,E283,E284,E285,E286,E287,E288,E291,E292,E293,E296,E297)</f>
        <v>2093900</v>
      </c>
      <c r="F298" s="196">
        <f t="shared" si="472"/>
        <v>95000</v>
      </c>
      <c r="G298" s="195">
        <f>H298+J298</f>
        <v>1746402.17</v>
      </c>
      <c r="H298" s="196">
        <f>SUM(H236,H259,H264,H268,H277,H278,H279,H280,H281,H282,H283,H284,H285,H286,H287,H288,H291,H292,H293,H296,H297)</f>
        <v>1620102.17</v>
      </c>
      <c r="I298" s="196">
        <f t="shared" ref="I298" si="473">SUM(I236,I259,I264,I268,I277,I278,I279,I280,I281,I282,I283,I284,I285,I286,I287,I288,I291,I292,I293,I296,I297)</f>
        <v>660138.30000000005</v>
      </c>
      <c r="J298" s="196">
        <f t="shared" ref="J298" si="474">SUM(J236,J259,J264,J268,J277,J278,J279,J280,J281,J282,J283,J284,J285,J286,J287,J288,J291,J292,J293,J296,J297)</f>
        <v>126300</v>
      </c>
      <c r="K298" s="195">
        <f>L298+N298</f>
        <v>566668.13</v>
      </c>
      <c r="L298" s="196">
        <f>SUM(L236,L259,L264,L268,L277,L278,L279,L280,L281,L282,L283,L284,L285,L286,L287,L288,L291,L292,L293,L296,L297)</f>
        <v>564568.13</v>
      </c>
      <c r="M298" s="196">
        <f t="shared" ref="M298" si="475">SUM(M236,M259,M264,M268,M277,M278,M279,M280,M281,M282,M283,M284,M285,M286,M287,M288,M291,M292,M293,M296,M297)</f>
        <v>169400</v>
      </c>
      <c r="N298" s="196">
        <f t="shared" ref="N298" si="476">SUM(N236,N259,N264,N268,N277,N278,N279,N280,N281,N282,N283,N284,N285,N286,N287,N288,N291,N292,N293,N296,N297)</f>
        <v>2100</v>
      </c>
      <c r="O298" s="195">
        <f>P298+R298</f>
        <v>0</v>
      </c>
      <c r="P298" s="196">
        <f>SUM(P236,P259,P264,P268,P277,P278,P279,P280,P281,P282,P283,P284,P285,P286,P287,P288,P291,P292,P293,P296,P297)</f>
        <v>0</v>
      </c>
      <c r="Q298" s="196">
        <f t="shared" ref="Q298" si="477">SUM(Q236,Q259,Q264,Q268,Q277,Q278,Q279,Q280,Q281,Q282,Q283,Q284,Q285,Q286,Q287,Q288,Q291,Q292,Q293,Q296,Q297)</f>
        <v>0</v>
      </c>
      <c r="R298" s="196">
        <f t="shared" ref="R298" si="478">SUM(R236,R259,R264,R268,R277,R278,R279,R280,R281,R282,R283,R284,R285,R286,R287,R288,R291,R292,R293,R296,R297)</f>
        <v>0</v>
      </c>
      <c r="S298" s="195">
        <f>T298+V298</f>
        <v>7323070.2999999998</v>
      </c>
      <c r="T298" s="196">
        <f>SUM(T236,T259,T264,T268,T277,T278,T279,T280,T281,T282,T283,T284,T285,T286,T287,T288,T291,T292,T293,T296,T297)</f>
        <v>7099670.2999999998</v>
      </c>
      <c r="U298" s="196">
        <f t="shared" ref="U298" si="479">SUM(U236,U259,U264,U268,U277,U278,U279,U280,U281,U282,U283,U284,U285,U286,U287,U288,U291,U292,U293,U296,U297)</f>
        <v>2923438.3</v>
      </c>
      <c r="V298" s="267">
        <f t="shared" ref="V298" si="480">SUM(V236,V259,V264,V268,V277,V278,V279,V280,V281,V282,V283,V284,V285,V286,V287,V288,V291,V292,V293,V296,V297)</f>
        <v>223400</v>
      </c>
      <c r="W298" s="150"/>
    </row>
    <row r="299" spans="1:25" s="79" customFormat="1" ht="15.75" customHeight="1" thickBot="1" x14ac:dyDescent="0.25">
      <c r="A299" s="512" t="s">
        <v>303</v>
      </c>
      <c r="B299" s="513"/>
      <c r="C299" s="513"/>
      <c r="D299" s="513"/>
      <c r="E299" s="513"/>
      <c r="F299" s="513"/>
      <c r="G299" s="513"/>
      <c r="H299" s="513"/>
      <c r="I299" s="513"/>
      <c r="J299" s="513"/>
      <c r="K299" s="513"/>
      <c r="L299" s="513"/>
      <c r="M299" s="513"/>
      <c r="N299" s="513"/>
      <c r="O299" s="513"/>
      <c r="P299" s="513"/>
      <c r="Q299" s="513"/>
      <c r="R299" s="513"/>
      <c r="S299" s="513"/>
      <c r="T299" s="513"/>
      <c r="U299" s="513"/>
      <c r="V299" s="514"/>
    </row>
    <row r="300" spans="1:25" ht="16.5" customHeight="1" x14ac:dyDescent="0.25">
      <c r="A300" s="333"/>
      <c r="B300" s="374" t="s">
        <v>134</v>
      </c>
      <c r="C300" s="264">
        <f t="shared" ref="C300:C318" si="481">D300+F300</f>
        <v>55918</v>
      </c>
      <c r="D300" s="265">
        <f>SUM(D301:D309)</f>
        <v>55918</v>
      </c>
      <c r="E300" s="265">
        <f t="shared" ref="E300:F300" si="482">SUM(E301:E309)</f>
        <v>0</v>
      </c>
      <c r="F300" s="265">
        <f t="shared" si="482"/>
        <v>0</v>
      </c>
      <c r="G300" s="264">
        <f t="shared" ref="G300:G318" si="483">H300+J300</f>
        <v>880</v>
      </c>
      <c r="H300" s="265">
        <f>SUM(H301:H309)</f>
        <v>680</v>
      </c>
      <c r="I300" s="265">
        <f t="shared" ref="I300:J300" si="484">SUM(I301:I309)</f>
        <v>0</v>
      </c>
      <c r="J300" s="265">
        <f t="shared" si="484"/>
        <v>200</v>
      </c>
      <c r="K300" s="264">
        <f t="shared" ref="K300:K318" si="485">L300+N300</f>
        <v>0</v>
      </c>
      <c r="L300" s="265">
        <f>SUM(L301:L301)</f>
        <v>0</v>
      </c>
      <c r="M300" s="265">
        <f>SUM(M301:M301)</f>
        <v>0</v>
      </c>
      <c r="N300" s="265">
        <f>SUM(N301:N301)</f>
        <v>0</v>
      </c>
      <c r="O300" s="264">
        <f t="shared" ref="O300:O318" si="486">P300+R300</f>
        <v>0</v>
      </c>
      <c r="P300" s="265">
        <f>SUM(P301:P309)</f>
        <v>0</v>
      </c>
      <c r="Q300" s="265">
        <f t="shared" ref="Q300:R300" si="487">SUM(Q301:Q309)</f>
        <v>0</v>
      </c>
      <c r="R300" s="265">
        <f t="shared" si="487"/>
        <v>0</v>
      </c>
      <c r="S300" s="264">
        <f t="shared" ref="S300:S318" si="488">T300+V300</f>
        <v>56798</v>
      </c>
      <c r="T300" s="265">
        <f>D300+H300+L300+P300</f>
        <v>56598</v>
      </c>
      <c r="U300" s="265">
        <f t="shared" ref="U300:V303" si="489">E300+I300+M300+Q300</f>
        <v>0</v>
      </c>
      <c r="V300" s="397">
        <f t="shared" si="489"/>
        <v>200</v>
      </c>
      <c r="W300" s="150"/>
    </row>
    <row r="301" spans="1:25" s="81" customFormat="1" ht="24" customHeight="1" x14ac:dyDescent="0.2">
      <c r="A301" s="330" t="s">
        <v>71</v>
      </c>
      <c r="B301" s="326" t="s">
        <v>331</v>
      </c>
      <c r="C301" s="191">
        <f t="shared" si="481"/>
        <v>3000</v>
      </c>
      <c r="D301" s="227">
        <v>3000</v>
      </c>
      <c r="E301" s="227"/>
      <c r="F301" s="228"/>
      <c r="G301" s="191">
        <f t="shared" si="483"/>
        <v>0</v>
      </c>
      <c r="H301" s="227"/>
      <c r="I301" s="227"/>
      <c r="J301" s="228"/>
      <c r="K301" s="191">
        <f t="shared" si="485"/>
        <v>0</v>
      </c>
      <c r="L301" s="227"/>
      <c r="M301" s="227"/>
      <c r="N301" s="228"/>
      <c r="O301" s="191">
        <f t="shared" si="486"/>
        <v>0</v>
      </c>
      <c r="P301" s="227"/>
      <c r="Q301" s="227"/>
      <c r="R301" s="228"/>
      <c r="S301" s="191">
        <f t="shared" si="488"/>
        <v>3000</v>
      </c>
      <c r="T301" s="227">
        <f>D301+H301+L301+P301</f>
        <v>3000</v>
      </c>
      <c r="U301" s="227">
        <f t="shared" si="489"/>
        <v>0</v>
      </c>
      <c r="V301" s="228">
        <f t="shared" si="489"/>
        <v>0</v>
      </c>
      <c r="W301" s="241"/>
    </row>
    <row r="302" spans="1:25" ht="13.5" customHeight="1" x14ac:dyDescent="0.2">
      <c r="A302" s="323" t="s">
        <v>71</v>
      </c>
      <c r="B302" s="346" t="s">
        <v>137</v>
      </c>
      <c r="C302" s="185">
        <f t="shared" si="481"/>
        <v>12000</v>
      </c>
      <c r="D302" s="186">
        <v>12000</v>
      </c>
      <c r="E302" s="186"/>
      <c r="F302" s="300"/>
      <c r="G302" s="221">
        <f t="shared" si="483"/>
        <v>0</v>
      </c>
      <c r="H302" s="186"/>
      <c r="I302" s="186"/>
      <c r="J302" s="222"/>
      <c r="K302" s="185">
        <f t="shared" si="485"/>
        <v>0</v>
      </c>
      <c r="L302" s="186"/>
      <c r="M302" s="186"/>
      <c r="N302" s="300"/>
      <c r="O302" s="221">
        <f t="shared" si="486"/>
        <v>0</v>
      </c>
      <c r="P302" s="186"/>
      <c r="Q302" s="186"/>
      <c r="R302" s="222"/>
      <c r="S302" s="185">
        <f t="shared" si="488"/>
        <v>12000</v>
      </c>
      <c r="T302" s="186">
        <f t="shared" ref="T302:T303" si="490">D302+H302+L302+P302</f>
        <v>12000</v>
      </c>
      <c r="U302" s="186">
        <f t="shared" si="489"/>
        <v>0</v>
      </c>
      <c r="V302" s="300">
        <f t="shared" si="489"/>
        <v>0</v>
      </c>
      <c r="W302" s="233"/>
      <c r="X302" s="146"/>
      <c r="Y302" s="146"/>
    </row>
    <row r="303" spans="1:25" ht="27.75" customHeight="1" x14ac:dyDescent="0.2">
      <c r="A303" s="323" t="s">
        <v>71</v>
      </c>
      <c r="B303" s="346" t="s">
        <v>578</v>
      </c>
      <c r="C303" s="185">
        <f t="shared" si="481"/>
        <v>5118</v>
      </c>
      <c r="D303" s="186">
        <v>5118</v>
      </c>
      <c r="E303" s="186"/>
      <c r="F303" s="300"/>
      <c r="G303" s="221">
        <f t="shared" si="483"/>
        <v>0</v>
      </c>
      <c r="H303" s="186"/>
      <c r="I303" s="186"/>
      <c r="J303" s="222"/>
      <c r="K303" s="185">
        <f t="shared" si="485"/>
        <v>0</v>
      </c>
      <c r="L303" s="186"/>
      <c r="M303" s="186"/>
      <c r="N303" s="300"/>
      <c r="O303" s="221">
        <f t="shared" si="486"/>
        <v>0</v>
      </c>
      <c r="P303" s="186"/>
      <c r="Q303" s="186"/>
      <c r="R303" s="222"/>
      <c r="S303" s="185">
        <f t="shared" si="488"/>
        <v>5118</v>
      </c>
      <c r="T303" s="186">
        <f t="shared" si="490"/>
        <v>5118</v>
      </c>
      <c r="U303" s="186">
        <f t="shared" si="489"/>
        <v>0</v>
      </c>
      <c r="V303" s="300">
        <f t="shared" si="489"/>
        <v>0</v>
      </c>
      <c r="W303" s="233"/>
      <c r="X303" s="146"/>
      <c r="Y303" s="146"/>
    </row>
    <row r="304" spans="1:25" s="81" customFormat="1" ht="24" customHeight="1" x14ac:dyDescent="0.2">
      <c r="A304" s="330" t="s">
        <v>71</v>
      </c>
      <c r="B304" s="326" t="s">
        <v>574</v>
      </c>
      <c r="C304" s="191">
        <f t="shared" ref="C304" si="491">D304+F304</f>
        <v>25000</v>
      </c>
      <c r="D304" s="227">
        <v>25000</v>
      </c>
      <c r="E304" s="227"/>
      <c r="F304" s="228"/>
      <c r="G304" s="191">
        <f t="shared" ref="G304" si="492">H304+J304</f>
        <v>0</v>
      </c>
      <c r="H304" s="227"/>
      <c r="I304" s="227"/>
      <c r="J304" s="228"/>
      <c r="K304" s="191">
        <f t="shared" ref="K304" si="493">L304+N304</f>
        <v>0</v>
      </c>
      <c r="L304" s="227"/>
      <c r="M304" s="227"/>
      <c r="N304" s="228"/>
      <c r="O304" s="191">
        <f t="shared" ref="O304" si="494">P304+R304</f>
        <v>0</v>
      </c>
      <c r="P304" s="227"/>
      <c r="Q304" s="227"/>
      <c r="R304" s="228"/>
      <c r="S304" s="191">
        <f t="shared" ref="S304" si="495">T304+V304</f>
        <v>25000</v>
      </c>
      <c r="T304" s="227">
        <f>D304+H304+L304+P304</f>
        <v>25000</v>
      </c>
      <c r="U304" s="227">
        <f t="shared" ref="U304" si="496">E304+I304+M304+Q304</f>
        <v>0</v>
      </c>
      <c r="V304" s="228">
        <f t="shared" ref="V304" si="497">F304+J304+N304+R304</f>
        <v>0</v>
      </c>
      <c r="W304" s="241"/>
    </row>
    <row r="305" spans="1:23" s="81" customFormat="1" ht="15" customHeight="1" x14ac:dyDescent="0.2">
      <c r="A305" s="330" t="s">
        <v>71</v>
      </c>
      <c r="B305" s="326" t="s">
        <v>573</v>
      </c>
      <c r="C305" s="191">
        <f t="shared" ref="C305" si="498">D305+F305</f>
        <v>10800</v>
      </c>
      <c r="D305" s="227">
        <v>10800</v>
      </c>
      <c r="E305" s="227"/>
      <c r="F305" s="228"/>
      <c r="G305" s="191">
        <f t="shared" ref="G305" si="499">H305+J305</f>
        <v>0</v>
      </c>
      <c r="H305" s="227"/>
      <c r="I305" s="227"/>
      <c r="J305" s="228"/>
      <c r="K305" s="191">
        <f t="shared" ref="K305" si="500">L305+N305</f>
        <v>0</v>
      </c>
      <c r="L305" s="227"/>
      <c r="M305" s="227"/>
      <c r="N305" s="228"/>
      <c r="O305" s="191">
        <f t="shared" ref="O305" si="501">P305+R305</f>
        <v>0</v>
      </c>
      <c r="P305" s="227"/>
      <c r="Q305" s="227"/>
      <c r="R305" s="228"/>
      <c r="S305" s="191">
        <f t="shared" ref="S305" si="502">T305+V305</f>
        <v>10800</v>
      </c>
      <c r="T305" s="227">
        <f>D305+H305+L305+P305</f>
        <v>10800</v>
      </c>
      <c r="U305" s="227">
        <f t="shared" ref="U305" si="503">E305+I305+M305+Q305</f>
        <v>0</v>
      </c>
      <c r="V305" s="228">
        <f t="shared" ref="V305" si="504">F305+J305+N305+R305</f>
        <v>0</v>
      </c>
      <c r="W305" s="241"/>
    </row>
    <row r="306" spans="1:23" s="81" customFormat="1" ht="35.25" customHeight="1" x14ac:dyDescent="0.2">
      <c r="A306" s="375" t="s">
        <v>71</v>
      </c>
      <c r="B306" s="363" t="s">
        <v>531</v>
      </c>
      <c r="C306" s="191">
        <f t="shared" si="481"/>
        <v>0</v>
      </c>
      <c r="D306" s="192"/>
      <c r="E306" s="194"/>
      <c r="F306" s="240"/>
      <c r="G306" s="239">
        <f t="shared" si="483"/>
        <v>222.47000000000003</v>
      </c>
      <c r="H306" s="192">
        <f>620-577.53</f>
        <v>42.470000000000027</v>
      </c>
      <c r="I306" s="192"/>
      <c r="J306" s="240">
        <v>180</v>
      </c>
      <c r="K306" s="189">
        <f t="shared" si="485"/>
        <v>0</v>
      </c>
      <c r="L306" s="190"/>
      <c r="M306" s="376"/>
      <c r="N306" s="251"/>
      <c r="O306" s="239">
        <f t="shared" si="486"/>
        <v>0</v>
      </c>
      <c r="P306" s="194"/>
      <c r="Q306" s="194"/>
      <c r="R306" s="240"/>
      <c r="S306" s="189">
        <f t="shared" si="488"/>
        <v>222.47000000000003</v>
      </c>
      <c r="T306" s="227">
        <f t="shared" ref="T306:T308" si="505">D306+H306+L306+P306</f>
        <v>42.470000000000027</v>
      </c>
      <c r="U306" s="227">
        <f t="shared" ref="U306:U308" si="506">E306+I306+M306+Q306</f>
        <v>0</v>
      </c>
      <c r="V306" s="228">
        <f t="shared" ref="V306:V308" si="507">F306+J306+N306+R306</f>
        <v>180</v>
      </c>
      <c r="W306" s="241"/>
    </row>
    <row r="307" spans="1:23" s="81" customFormat="1" ht="39" customHeight="1" x14ac:dyDescent="0.2">
      <c r="A307" s="375" t="s">
        <v>71</v>
      </c>
      <c r="B307" s="363" t="s">
        <v>532</v>
      </c>
      <c r="C307" s="191">
        <f t="shared" si="481"/>
        <v>0</v>
      </c>
      <c r="D307" s="227"/>
      <c r="E307" s="192"/>
      <c r="F307" s="228"/>
      <c r="G307" s="239">
        <f t="shared" si="483"/>
        <v>29</v>
      </c>
      <c r="H307" s="194">
        <f>60-51</f>
        <v>9</v>
      </c>
      <c r="I307" s="194"/>
      <c r="J307" s="240">
        <v>20</v>
      </c>
      <c r="K307" s="189">
        <f t="shared" si="485"/>
        <v>0</v>
      </c>
      <c r="L307" s="376"/>
      <c r="M307" s="190"/>
      <c r="N307" s="377"/>
      <c r="O307" s="239">
        <f t="shared" si="486"/>
        <v>0</v>
      </c>
      <c r="P307" s="192"/>
      <c r="Q307" s="192"/>
      <c r="R307" s="378"/>
      <c r="S307" s="189">
        <f t="shared" si="488"/>
        <v>29</v>
      </c>
      <c r="T307" s="227">
        <f t="shared" si="505"/>
        <v>9</v>
      </c>
      <c r="U307" s="227">
        <f t="shared" si="506"/>
        <v>0</v>
      </c>
      <c r="V307" s="228">
        <f t="shared" si="507"/>
        <v>20</v>
      </c>
      <c r="W307" s="241"/>
    </row>
    <row r="308" spans="1:23" s="81" customFormat="1" ht="34.5" customHeight="1" x14ac:dyDescent="0.2">
      <c r="A308" s="375" t="s">
        <v>71</v>
      </c>
      <c r="B308" s="363" t="s">
        <v>533</v>
      </c>
      <c r="C308" s="191">
        <f t="shared" si="481"/>
        <v>0</v>
      </c>
      <c r="D308" s="192"/>
      <c r="E308" s="248"/>
      <c r="F308" s="378"/>
      <c r="G308" s="239">
        <f t="shared" si="483"/>
        <v>577.53</v>
      </c>
      <c r="H308" s="192">
        <v>577.53</v>
      </c>
      <c r="I308" s="192"/>
      <c r="J308" s="240"/>
      <c r="K308" s="189">
        <f t="shared" si="485"/>
        <v>0</v>
      </c>
      <c r="L308" s="250"/>
      <c r="M308" s="250"/>
      <c r="N308" s="251"/>
      <c r="O308" s="239">
        <f t="shared" si="486"/>
        <v>0</v>
      </c>
      <c r="P308" s="248"/>
      <c r="Q308" s="248"/>
      <c r="R308" s="240"/>
      <c r="S308" s="189">
        <f t="shared" si="488"/>
        <v>577.53</v>
      </c>
      <c r="T308" s="227">
        <f t="shared" si="505"/>
        <v>577.53</v>
      </c>
      <c r="U308" s="227">
        <f t="shared" si="506"/>
        <v>0</v>
      </c>
      <c r="V308" s="240">
        <f t="shared" si="507"/>
        <v>0</v>
      </c>
    </row>
    <row r="309" spans="1:23" ht="36" customHeight="1" x14ac:dyDescent="0.2">
      <c r="A309" s="375" t="s">
        <v>71</v>
      </c>
      <c r="B309" s="363" t="s">
        <v>534</v>
      </c>
      <c r="C309" s="191">
        <f t="shared" ref="C309" si="508">D309+F309</f>
        <v>0</v>
      </c>
      <c r="D309" s="194"/>
      <c r="E309" s="192"/>
      <c r="F309" s="240"/>
      <c r="G309" s="239">
        <f t="shared" ref="G309" si="509">H309+J309</f>
        <v>51</v>
      </c>
      <c r="H309" s="194">
        <v>51</v>
      </c>
      <c r="I309" s="194"/>
      <c r="J309" s="240"/>
      <c r="K309" s="189">
        <f t="shared" ref="K309" si="510">L309+N309</f>
        <v>0</v>
      </c>
      <c r="L309" s="190"/>
      <c r="M309" s="190"/>
      <c r="N309" s="379"/>
      <c r="O309" s="239">
        <f t="shared" ref="O309" si="511">P309+R309</f>
        <v>0</v>
      </c>
      <c r="P309" s="192"/>
      <c r="Q309" s="192"/>
      <c r="R309" s="378"/>
      <c r="S309" s="189">
        <f t="shared" ref="S309" si="512">T309+V309</f>
        <v>51</v>
      </c>
      <c r="T309" s="227">
        <f t="shared" ref="T309" si="513">D309+H309+L309+P309</f>
        <v>51</v>
      </c>
      <c r="U309" s="227">
        <f t="shared" ref="U309" si="514">E309+I309+M309+Q309</f>
        <v>0</v>
      </c>
      <c r="V309" s="228">
        <f t="shared" ref="V309" si="515">F309+J309+N309+R309</f>
        <v>0</v>
      </c>
      <c r="W309" s="150"/>
    </row>
    <row r="310" spans="1:23" ht="15" customHeight="1" x14ac:dyDescent="0.2">
      <c r="A310" s="336"/>
      <c r="B310" s="365" t="s">
        <v>70</v>
      </c>
      <c r="C310" s="189">
        <f t="shared" si="481"/>
        <v>6300</v>
      </c>
      <c r="D310" s="190">
        <f>SUM(D311:D317)</f>
        <v>6300</v>
      </c>
      <c r="E310" s="190">
        <f t="shared" ref="E310:F310" si="516">SUM(E311:E317)</f>
        <v>1000</v>
      </c>
      <c r="F310" s="380">
        <f t="shared" si="516"/>
        <v>0</v>
      </c>
      <c r="G310" s="244">
        <f t="shared" si="483"/>
        <v>328400</v>
      </c>
      <c r="H310" s="190">
        <f>SUM(H311:H317)</f>
        <v>328400</v>
      </c>
      <c r="I310" s="190">
        <f t="shared" ref="I310:J310" si="517">SUM(I311:I317)</f>
        <v>229000</v>
      </c>
      <c r="J310" s="245">
        <f t="shared" si="517"/>
        <v>0</v>
      </c>
      <c r="K310" s="189">
        <f t="shared" si="485"/>
        <v>6680.54</v>
      </c>
      <c r="L310" s="190">
        <f>SUM(L311:L317)</f>
        <v>6680.54</v>
      </c>
      <c r="M310" s="190">
        <f t="shared" ref="M310:N310" si="518">SUM(M311:M317)</f>
        <v>3000</v>
      </c>
      <c r="N310" s="251">
        <f t="shared" si="518"/>
        <v>0</v>
      </c>
      <c r="O310" s="381">
        <f t="shared" si="486"/>
        <v>0</v>
      </c>
      <c r="P310" s="190"/>
      <c r="Q310" s="190"/>
      <c r="R310" s="380"/>
      <c r="S310" s="189">
        <f t="shared" si="488"/>
        <v>341380.54</v>
      </c>
      <c r="T310" s="245">
        <f>SUM(T311:T317)</f>
        <v>341380.54</v>
      </c>
      <c r="U310" s="245">
        <f t="shared" ref="U310:V310" si="519">SUM(U311:U317)</f>
        <v>233000</v>
      </c>
      <c r="V310" s="377">
        <f t="shared" si="519"/>
        <v>0</v>
      </c>
      <c r="W310" s="150"/>
    </row>
    <row r="311" spans="1:23" ht="15" customHeight="1" x14ac:dyDescent="0.2">
      <c r="A311" s="375" t="s">
        <v>71</v>
      </c>
      <c r="B311" s="357" t="s">
        <v>182</v>
      </c>
      <c r="C311" s="239">
        <f t="shared" si="481"/>
        <v>0</v>
      </c>
      <c r="D311" s="192"/>
      <c r="E311" s="192"/>
      <c r="F311" s="253"/>
      <c r="G311" s="239">
        <f t="shared" si="483"/>
        <v>0</v>
      </c>
      <c r="H311" s="192"/>
      <c r="I311" s="192"/>
      <c r="J311" s="240"/>
      <c r="K311" s="191">
        <f t="shared" si="485"/>
        <v>4000</v>
      </c>
      <c r="L311" s="192">
        <v>4000</v>
      </c>
      <c r="M311" s="192">
        <v>1400</v>
      </c>
      <c r="N311" s="253"/>
      <c r="O311" s="244">
        <f t="shared" si="486"/>
        <v>0</v>
      </c>
      <c r="P311" s="190"/>
      <c r="Q311" s="190"/>
      <c r="R311" s="380"/>
      <c r="S311" s="244">
        <f t="shared" si="488"/>
        <v>4000</v>
      </c>
      <c r="T311" s="227">
        <f>D311+H311+L311+P311</f>
        <v>4000</v>
      </c>
      <c r="U311" s="227">
        <f t="shared" ref="U311:V311" si="520">E311+I311+M311+Q311</f>
        <v>1400</v>
      </c>
      <c r="V311" s="228">
        <f t="shared" si="520"/>
        <v>0</v>
      </c>
      <c r="W311" s="150"/>
    </row>
    <row r="312" spans="1:23" ht="15" customHeight="1" x14ac:dyDescent="0.2">
      <c r="A312" s="382" t="s">
        <v>71</v>
      </c>
      <c r="B312" s="357" t="s">
        <v>109</v>
      </c>
      <c r="C312" s="191"/>
      <c r="D312" s="194"/>
      <c r="E312" s="194"/>
      <c r="F312" s="378"/>
      <c r="G312" s="239">
        <f t="shared" si="483"/>
        <v>250500</v>
      </c>
      <c r="H312" s="192">
        <v>250500</v>
      </c>
      <c r="I312" s="194">
        <v>217100</v>
      </c>
      <c r="J312" s="378"/>
      <c r="K312" s="191"/>
      <c r="L312" s="194"/>
      <c r="M312" s="194"/>
      <c r="N312" s="383"/>
      <c r="O312" s="244"/>
      <c r="P312" s="376"/>
      <c r="Q312" s="376"/>
      <c r="R312" s="251"/>
      <c r="S312" s="244">
        <f t="shared" si="488"/>
        <v>250500</v>
      </c>
      <c r="T312" s="227">
        <f t="shared" ref="T312:T317" si="521">D312+H312+L312+P312</f>
        <v>250500</v>
      </c>
      <c r="U312" s="227">
        <f t="shared" ref="U312:U317" si="522">E312+I312+M312+Q312</f>
        <v>217100</v>
      </c>
      <c r="V312" s="240">
        <f t="shared" ref="V312:V317" si="523">F312+J312+N312+R312</f>
        <v>0</v>
      </c>
    </row>
    <row r="313" spans="1:23" ht="15" customHeight="1" x14ac:dyDescent="0.2">
      <c r="A313" s="382"/>
      <c r="B313" s="357" t="s">
        <v>484</v>
      </c>
      <c r="C313" s="191"/>
      <c r="D313" s="192"/>
      <c r="E313" s="248"/>
      <c r="F313" s="240"/>
      <c r="G313" s="306"/>
      <c r="H313" s="194"/>
      <c r="I313" s="248"/>
      <c r="J313" s="384"/>
      <c r="K313" s="191">
        <f t="shared" si="485"/>
        <v>2680.54</v>
      </c>
      <c r="L313" s="192">
        <v>2680.54</v>
      </c>
      <c r="M313" s="248">
        <v>1600</v>
      </c>
      <c r="N313" s="383"/>
      <c r="O313" s="244"/>
      <c r="P313" s="250"/>
      <c r="Q313" s="250"/>
      <c r="R313" s="379"/>
      <c r="S313" s="244">
        <f t="shared" si="488"/>
        <v>2680.54</v>
      </c>
      <c r="T313" s="227">
        <f t="shared" si="521"/>
        <v>2680.54</v>
      </c>
      <c r="U313" s="227">
        <f t="shared" si="522"/>
        <v>1600</v>
      </c>
      <c r="V313" s="228">
        <f t="shared" si="523"/>
        <v>0</v>
      </c>
      <c r="W313" s="150"/>
    </row>
    <row r="314" spans="1:23" ht="15" customHeight="1" x14ac:dyDescent="0.2">
      <c r="A314" s="323" t="s">
        <v>71</v>
      </c>
      <c r="B314" s="357" t="s">
        <v>544</v>
      </c>
      <c r="C314" s="191">
        <f t="shared" ref="C314:C315" si="524">D314+F314</f>
        <v>6300</v>
      </c>
      <c r="D314" s="194">
        <v>6300</v>
      </c>
      <c r="E314" s="248">
        <v>1000</v>
      </c>
      <c r="F314" s="378"/>
      <c r="G314" s="239">
        <f t="shared" ref="G314:G315" si="525">H314+J314</f>
        <v>62980.770000000004</v>
      </c>
      <c r="H314" s="192">
        <f>71600-8619.23</f>
        <v>62980.770000000004</v>
      </c>
      <c r="I314" s="192">
        <v>10900</v>
      </c>
      <c r="J314" s="240"/>
      <c r="K314" s="189">
        <f t="shared" ref="K314:K315" si="526">L314+N314</f>
        <v>0</v>
      </c>
      <c r="L314" s="376"/>
      <c r="M314" s="190"/>
      <c r="N314" s="386"/>
      <c r="O314" s="381">
        <f t="shared" ref="O314:O315" si="527">P314+R314</f>
        <v>0</v>
      </c>
      <c r="P314" s="190"/>
      <c r="Q314" s="190"/>
      <c r="R314" s="251"/>
      <c r="S314" s="189">
        <f t="shared" ref="S314:S315" si="528">T314+V314</f>
        <v>69280.77</v>
      </c>
      <c r="T314" s="227">
        <f t="shared" ref="T314:T315" si="529">D314+H314+L314+P314</f>
        <v>69280.77</v>
      </c>
      <c r="U314" s="227">
        <f t="shared" ref="U314:U315" si="530">E314+I314+M314+Q314</f>
        <v>11900</v>
      </c>
      <c r="V314" s="228">
        <f t="shared" ref="V314:V315" si="531">F314+J314+N314+R314</f>
        <v>0</v>
      </c>
      <c r="W314" s="150"/>
    </row>
    <row r="315" spans="1:23" ht="15" customHeight="1" x14ac:dyDescent="0.2">
      <c r="A315" s="336" t="s">
        <v>71</v>
      </c>
      <c r="B315" s="363" t="s">
        <v>546</v>
      </c>
      <c r="C315" s="191">
        <f t="shared" si="524"/>
        <v>0</v>
      </c>
      <c r="D315" s="248"/>
      <c r="E315" s="248"/>
      <c r="F315" s="384"/>
      <c r="G315" s="239">
        <f t="shared" si="525"/>
        <v>5539.49</v>
      </c>
      <c r="H315" s="248">
        <f>6300-760.51</f>
        <v>5539.49</v>
      </c>
      <c r="I315" s="194">
        <v>1000</v>
      </c>
      <c r="J315" s="378"/>
      <c r="K315" s="189">
        <f t="shared" si="526"/>
        <v>0</v>
      </c>
      <c r="L315" s="250"/>
      <c r="M315" s="376"/>
      <c r="N315" s="386"/>
      <c r="O315" s="381">
        <f t="shared" si="527"/>
        <v>0</v>
      </c>
      <c r="P315" s="376"/>
      <c r="Q315" s="376"/>
      <c r="R315" s="379"/>
      <c r="S315" s="189">
        <f t="shared" si="528"/>
        <v>5539.49</v>
      </c>
      <c r="T315" s="227">
        <f t="shared" si="529"/>
        <v>5539.49</v>
      </c>
      <c r="U315" s="227">
        <f t="shared" si="530"/>
        <v>1000</v>
      </c>
      <c r="V315" s="228">
        <f t="shared" si="531"/>
        <v>0</v>
      </c>
      <c r="W315" s="150"/>
    </row>
    <row r="316" spans="1:23" ht="26.25" customHeight="1" x14ac:dyDescent="0.2">
      <c r="A316" s="336" t="s">
        <v>71</v>
      </c>
      <c r="B316" s="363" t="s">
        <v>545</v>
      </c>
      <c r="C316" s="191">
        <f t="shared" ref="C316" si="532">D316+F316</f>
        <v>0</v>
      </c>
      <c r="D316" s="248"/>
      <c r="E316" s="192"/>
      <c r="F316" s="240"/>
      <c r="G316" s="239">
        <f t="shared" ref="G316" si="533">H316+J316</f>
        <v>8619.23</v>
      </c>
      <c r="H316" s="248">
        <v>8619.23</v>
      </c>
      <c r="I316" s="248"/>
      <c r="J316" s="384"/>
      <c r="K316" s="189">
        <f t="shared" ref="K316" si="534">L316+N316</f>
        <v>0</v>
      </c>
      <c r="L316" s="250"/>
      <c r="M316" s="190"/>
      <c r="N316" s="251"/>
      <c r="O316" s="381">
        <f t="shared" ref="O316" si="535">P316+R316</f>
        <v>0</v>
      </c>
      <c r="P316" s="250"/>
      <c r="Q316" s="250"/>
      <c r="R316" s="386"/>
      <c r="S316" s="189">
        <f t="shared" ref="S316" si="536">T316+V316</f>
        <v>8619.23</v>
      </c>
      <c r="T316" s="227">
        <f t="shared" ref="T316" si="537">D316+H316+L316+P316</f>
        <v>8619.23</v>
      </c>
      <c r="U316" s="227">
        <f t="shared" ref="U316" si="538">E316+I316+M316+Q316</f>
        <v>0</v>
      </c>
      <c r="V316" s="228">
        <f t="shared" ref="V316" si="539">F316+J316+N316+R316</f>
        <v>0</v>
      </c>
      <c r="W316" s="150"/>
    </row>
    <row r="317" spans="1:23" ht="26.25" customHeight="1" thickBot="1" x14ac:dyDescent="0.25">
      <c r="A317" s="385" t="s">
        <v>71</v>
      </c>
      <c r="B317" s="363" t="s">
        <v>547</v>
      </c>
      <c r="C317" s="191">
        <f t="shared" si="481"/>
        <v>0</v>
      </c>
      <c r="D317" s="249"/>
      <c r="E317" s="194"/>
      <c r="F317" s="378"/>
      <c r="G317" s="247">
        <f t="shared" si="483"/>
        <v>760.51</v>
      </c>
      <c r="H317" s="249">
        <v>760.51</v>
      </c>
      <c r="I317" s="249"/>
      <c r="J317" s="387"/>
      <c r="K317" s="189">
        <f t="shared" si="485"/>
        <v>0</v>
      </c>
      <c r="L317" s="388"/>
      <c r="M317" s="376"/>
      <c r="N317" s="389"/>
      <c r="O317" s="381">
        <f t="shared" si="486"/>
        <v>0</v>
      </c>
      <c r="P317" s="388"/>
      <c r="Q317" s="388"/>
      <c r="R317" s="390"/>
      <c r="S317" s="189">
        <f t="shared" si="488"/>
        <v>760.51</v>
      </c>
      <c r="T317" s="227">
        <f t="shared" si="521"/>
        <v>760.51</v>
      </c>
      <c r="U317" s="227">
        <f t="shared" si="522"/>
        <v>0</v>
      </c>
      <c r="V317" s="228">
        <f t="shared" si="523"/>
        <v>0</v>
      </c>
      <c r="W317" s="150"/>
    </row>
    <row r="318" spans="1:23" ht="18" customHeight="1" thickBot="1" x14ac:dyDescent="0.25">
      <c r="A318" s="404"/>
      <c r="B318" s="331" t="s">
        <v>304</v>
      </c>
      <c r="C318" s="195">
        <f t="shared" si="481"/>
        <v>62218</v>
      </c>
      <c r="D318" s="196">
        <f>SUM(D300,D310)</f>
        <v>62218</v>
      </c>
      <c r="E318" s="196">
        <f>SUM(E300,E310)</f>
        <v>1000</v>
      </c>
      <c r="F318" s="196">
        <f>SUM(F300,F310)</f>
        <v>0</v>
      </c>
      <c r="G318" s="195">
        <f t="shared" si="483"/>
        <v>329280</v>
      </c>
      <c r="H318" s="196">
        <f>SUM(H300,H310)</f>
        <v>329080</v>
      </c>
      <c r="I318" s="196">
        <f>SUM(I300,I310)</f>
        <v>229000</v>
      </c>
      <c r="J318" s="196">
        <f>SUM(J300,J310)</f>
        <v>200</v>
      </c>
      <c r="K318" s="195">
        <f t="shared" si="485"/>
        <v>6680.54</v>
      </c>
      <c r="L318" s="196">
        <f>SUM(L300,L310)</f>
        <v>6680.54</v>
      </c>
      <c r="M318" s="196">
        <f>SUM(M300,M310)</f>
        <v>3000</v>
      </c>
      <c r="N318" s="270">
        <f>SUM(N300,N310)</f>
        <v>0</v>
      </c>
      <c r="O318" s="195">
        <f t="shared" si="486"/>
        <v>0</v>
      </c>
      <c r="P318" s="196">
        <f>SUM(P300,P310)</f>
        <v>0</v>
      </c>
      <c r="Q318" s="196">
        <f>SUM(Q300,Q310)</f>
        <v>0</v>
      </c>
      <c r="R318" s="196">
        <f>SUM(R300,R310)</f>
        <v>0</v>
      </c>
      <c r="S318" s="195">
        <f t="shared" si="488"/>
        <v>398178.54</v>
      </c>
      <c r="T318" s="196">
        <f>SUM(T300,T310)</f>
        <v>397978.54</v>
      </c>
      <c r="U318" s="196">
        <f>SUM(U300,U310)</f>
        <v>233000</v>
      </c>
      <c r="V318" s="267">
        <f>SUM(V300,V310)</f>
        <v>200</v>
      </c>
      <c r="W318" s="150"/>
    </row>
    <row r="319" spans="1:23" s="79" customFormat="1" ht="15.75" customHeight="1" thickBot="1" x14ac:dyDescent="0.25">
      <c r="A319" s="512" t="s">
        <v>310</v>
      </c>
      <c r="B319" s="513"/>
      <c r="C319" s="513"/>
      <c r="D319" s="513"/>
      <c r="E319" s="513"/>
      <c r="F319" s="513"/>
      <c r="G319" s="513"/>
      <c r="H319" s="513"/>
      <c r="I319" s="513"/>
      <c r="J319" s="513"/>
      <c r="K319" s="513"/>
      <c r="L319" s="513"/>
      <c r="M319" s="513"/>
      <c r="N319" s="513"/>
      <c r="O319" s="513"/>
      <c r="P319" s="513"/>
      <c r="Q319" s="513"/>
      <c r="R319" s="513"/>
      <c r="S319" s="513"/>
      <c r="T319" s="513"/>
      <c r="U319" s="513"/>
      <c r="V319" s="514"/>
      <c r="W319" s="155"/>
    </row>
    <row r="320" spans="1:23" ht="16.5" customHeight="1" x14ac:dyDescent="0.2">
      <c r="A320" s="333"/>
      <c r="B320" s="324" t="s">
        <v>134</v>
      </c>
      <c r="C320" s="264">
        <f t="shared" ref="C320:C394" si="540">D320+F320</f>
        <v>387600</v>
      </c>
      <c r="D320" s="265">
        <f>SUM(D321:D336)</f>
        <v>387600</v>
      </c>
      <c r="E320" s="265">
        <f>SUM(E321:E336)</f>
        <v>0</v>
      </c>
      <c r="F320" s="265">
        <f>SUM(F321:F336)</f>
        <v>0</v>
      </c>
      <c r="G320" s="264">
        <f>H320+J320</f>
        <v>391200</v>
      </c>
      <c r="H320" s="265">
        <f>SUM(H321:H336)</f>
        <v>296500</v>
      </c>
      <c r="I320" s="265">
        <f>SUM(I321:I336)</f>
        <v>6135</v>
      </c>
      <c r="J320" s="265">
        <f>SUM(J321:J336)</f>
        <v>94700</v>
      </c>
      <c r="K320" s="264">
        <f>L320+N320</f>
        <v>0</v>
      </c>
      <c r="L320" s="265">
        <f>SUM(L321:L336)</f>
        <v>0</v>
      </c>
      <c r="M320" s="265">
        <f>SUM(M321:M336)</f>
        <v>0</v>
      </c>
      <c r="N320" s="265">
        <f>SUM(N321:N336)</f>
        <v>0</v>
      </c>
      <c r="O320" s="264">
        <f>P320+R320</f>
        <v>0</v>
      </c>
      <c r="P320" s="265">
        <f>SUM(P321:P336)</f>
        <v>0</v>
      </c>
      <c r="Q320" s="265">
        <f>SUM(Q321:Q336)</f>
        <v>0</v>
      </c>
      <c r="R320" s="265">
        <f>SUM(R321:R336)</f>
        <v>0</v>
      </c>
      <c r="S320" s="264">
        <f>T320+V320</f>
        <v>778800</v>
      </c>
      <c r="T320" s="265">
        <f>D320+H320+L320+P320</f>
        <v>684100</v>
      </c>
      <c r="U320" s="265">
        <f t="shared" ref="U320:V320" si="541">E320+I320+M320+Q320</f>
        <v>6135</v>
      </c>
      <c r="V320" s="397">
        <f t="shared" si="541"/>
        <v>94700</v>
      </c>
      <c r="W320" s="150"/>
    </row>
    <row r="321" spans="1:23" s="81" customFormat="1" ht="16.5" customHeight="1" x14ac:dyDescent="0.2">
      <c r="A321" s="330" t="s">
        <v>68</v>
      </c>
      <c r="B321" s="357" t="s">
        <v>306</v>
      </c>
      <c r="C321" s="191">
        <f t="shared" si="540"/>
        <v>6700</v>
      </c>
      <c r="D321" s="227">
        <v>6700</v>
      </c>
      <c r="E321" s="227"/>
      <c r="F321" s="228"/>
      <c r="G321" s="191">
        <f t="shared" ref="G321:G407" si="542">H321+J321</f>
        <v>0</v>
      </c>
      <c r="H321" s="227"/>
      <c r="I321" s="227"/>
      <c r="J321" s="228"/>
      <c r="K321" s="191">
        <f t="shared" ref="K321:K407" si="543">L321+N321</f>
        <v>0</v>
      </c>
      <c r="L321" s="227"/>
      <c r="M321" s="227"/>
      <c r="N321" s="228"/>
      <c r="O321" s="191">
        <f t="shared" ref="O321:O408" si="544">P321+R321</f>
        <v>0</v>
      </c>
      <c r="P321" s="227"/>
      <c r="Q321" s="227"/>
      <c r="R321" s="228"/>
      <c r="S321" s="191">
        <f t="shared" ref="S321:S335" si="545">T321+V321</f>
        <v>6700</v>
      </c>
      <c r="T321" s="227">
        <f t="shared" ref="T321:T335" si="546">D321+H321+L321+P321</f>
        <v>6700</v>
      </c>
      <c r="U321" s="227">
        <f t="shared" ref="U321:U335" si="547">E321+I321+M321+Q321</f>
        <v>0</v>
      </c>
      <c r="V321" s="240">
        <f t="shared" ref="V321:V335" si="548">F321+J321+N321+R321</f>
        <v>0</v>
      </c>
    </row>
    <row r="322" spans="1:23" s="81" customFormat="1" ht="13.5" customHeight="1" x14ac:dyDescent="0.2">
      <c r="A322" s="330" t="s">
        <v>68</v>
      </c>
      <c r="B322" s="357" t="s">
        <v>307</v>
      </c>
      <c r="C322" s="191">
        <f t="shared" si="540"/>
        <v>0</v>
      </c>
      <c r="D322" s="227"/>
      <c r="E322" s="227"/>
      <c r="F322" s="228"/>
      <c r="G322" s="191">
        <f t="shared" si="542"/>
        <v>41800</v>
      </c>
      <c r="H322" s="227">
        <v>41800</v>
      </c>
      <c r="I322" s="227"/>
      <c r="J322" s="228"/>
      <c r="K322" s="191">
        <f t="shared" si="543"/>
        <v>0</v>
      </c>
      <c r="L322" s="227"/>
      <c r="M322" s="227"/>
      <c r="N322" s="228"/>
      <c r="O322" s="191">
        <f t="shared" si="544"/>
        <v>0</v>
      </c>
      <c r="P322" s="227"/>
      <c r="Q322" s="227"/>
      <c r="R322" s="228"/>
      <c r="S322" s="191">
        <f t="shared" si="545"/>
        <v>41800</v>
      </c>
      <c r="T322" s="227">
        <f t="shared" si="546"/>
        <v>41800</v>
      </c>
      <c r="U322" s="227">
        <f t="shared" si="547"/>
        <v>0</v>
      </c>
      <c r="V322" s="228">
        <f t="shared" si="548"/>
        <v>0</v>
      </c>
      <c r="W322" s="254"/>
    </row>
    <row r="323" spans="1:23" s="81" customFormat="1" ht="13.5" customHeight="1" x14ac:dyDescent="0.2">
      <c r="A323" s="330" t="s">
        <v>68</v>
      </c>
      <c r="B323" s="357" t="s">
        <v>552</v>
      </c>
      <c r="C323" s="191">
        <f t="shared" ref="C323" si="549">D323+F323</f>
        <v>0</v>
      </c>
      <c r="D323" s="227"/>
      <c r="E323" s="227"/>
      <c r="F323" s="228"/>
      <c r="G323" s="191">
        <f t="shared" ref="G323" si="550">H323+J323</f>
        <v>20600</v>
      </c>
      <c r="H323" s="227">
        <v>20600</v>
      </c>
      <c r="I323" s="227"/>
      <c r="J323" s="228"/>
      <c r="K323" s="191">
        <f t="shared" ref="K323" si="551">L323+N323</f>
        <v>0</v>
      </c>
      <c r="L323" s="227"/>
      <c r="M323" s="227"/>
      <c r="N323" s="228"/>
      <c r="O323" s="191">
        <f t="shared" ref="O323" si="552">P323+R323</f>
        <v>0</v>
      </c>
      <c r="P323" s="227"/>
      <c r="Q323" s="227"/>
      <c r="R323" s="228"/>
      <c r="S323" s="191">
        <f t="shared" ref="S323" si="553">T323+V323</f>
        <v>20600</v>
      </c>
      <c r="T323" s="227">
        <f t="shared" ref="T323" si="554">D323+H323+L323+P323</f>
        <v>20600</v>
      </c>
      <c r="U323" s="227">
        <f t="shared" ref="U323" si="555">E323+I323+M323+Q323</f>
        <v>0</v>
      </c>
      <c r="V323" s="228">
        <f t="shared" ref="V323" si="556">F323+J323+N323+R323</f>
        <v>0</v>
      </c>
      <c r="W323" s="241"/>
    </row>
    <row r="324" spans="1:23" s="81" customFormat="1" ht="24" customHeight="1" x14ac:dyDescent="0.2">
      <c r="A324" s="330" t="s">
        <v>68</v>
      </c>
      <c r="B324" s="326" t="s">
        <v>418</v>
      </c>
      <c r="C324" s="191">
        <f t="shared" si="540"/>
        <v>15000</v>
      </c>
      <c r="D324" s="227">
        <v>15000</v>
      </c>
      <c r="E324" s="227"/>
      <c r="F324" s="228"/>
      <c r="G324" s="191">
        <f t="shared" si="542"/>
        <v>0</v>
      </c>
      <c r="H324" s="227"/>
      <c r="I324" s="227"/>
      <c r="J324" s="228"/>
      <c r="K324" s="191"/>
      <c r="L324" s="227"/>
      <c r="M324" s="227"/>
      <c r="N324" s="228"/>
      <c r="O324" s="191"/>
      <c r="P324" s="227"/>
      <c r="Q324" s="227"/>
      <c r="R324" s="228"/>
      <c r="S324" s="191">
        <f t="shared" si="545"/>
        <v>15000</v>
      </c>
      <c r="T324" s="227">
        <f t="shared" si="546"/>
        <v>15000</v>
      </c>
      <c r="U324" s="192">
        <f t="shared" si="547"/>
        <v>0</v>
      </c>
      <c r="V324" s="228">
        <f t="shared" si="548"/>
        <v>0</v>
      </c>
      <c r="W324" s="241"/>
    </row>
    <row r="325" spans="1:23" s="81" customFormat="1" ht="16.5" customHeight="1" x14ac:dyDescent="0.2">
      <c r="A325" s="330" t="s">
        <v>68</v>
      </c>
      <c r="B325" s="357" t="s">
        <v>182</v>
      </c>
      <c r="C325" s="191">
        <f t="shared" ref="C325:C335" si="557">D325+F325</f>
        <v>10900</v>
      </c>
      <c r="D325" s="227">
        <f>10000+900</f>
        <v>10900</v>
      </c>
      <c r="E325" s="227"/>
      <c r="F325" s="228"/>
      <c r="G325" s="191">
        <f t="shared" si="542"/>
        <v>0</v>
      </c>
      <c r="H325" s="227"/>
      <c r="I325" s="227"/>
      <c r="J325" s="228"/>
      <c r="K325" s="191">
        <f t="shared" ref="K325:K326" si="558">L325+N325</f>
        <v>0</v>
      </c>
      <c r="L325" s="227"/>
      <c r="M325" s="227"/>
      <c r="N325" s="228"/>
      <c r="O325" s="191">
        <f t="shared" ref="O325:O326" si="559">P325+R325</f>
        <v>0</v>
      </c>
      <c r="P325" s="227"/>
      <c r="Q325" s="227"/>
      <c r="R325" s="228"/>
      <c r="S325" s="191">
        <f t="shared" si="545"/>
        <v>10900</v>
      </c>
      <c r="T325" s="227">
        <f t="shared" si="546"/>
        <v>10900</v>
      </c>
      <c r="U325" s="227">
        <f t="shared" si="547"/>
        <v>0</v>
      </c>
      <c r="V325" s="228">
        <f t="shared" si="548"/>
        <v>0</v>
      </c>
      <c r="W325" s="241"/>
    </row>
    <row r="326" spans="1:23" s="81" customFormat="1" ht="24.75" customHeight="1" x14ac:dyDescent="0.2">
      <c r="A326" s="330" t="s">
        <v>68</v>
      </c>
      <c r="B326" s="326" t="s">
        <v>407</v>
      </c>
      <c r="C326" s="191">
        <f t="shared" si="557"/>
        <v>8000</v>
      </c>
      <c r="D326" s="227">
        <v>8000</v>
      </c>
      <c r="E326" s="227"/>
      <c r="F326" s="228"/>
      <c r="G326" s="191">
        <f t="shared" si="542"/>
        <v>0</v>
      </c>
      <c r="H326" s="227"/>
      <c r="I326" s="227"/>
      <c r="J326" s="228"/>
      <c r="K326" s="191">
        <f t="shared" si="558"/>
        <v>0</v>
      </c>
      <c r="L326" s="227"/>
      <c r="M326" s="227"/>
      <c r="N326" s="228"/>
      <c r="O326" s="191">
        <f t="shared" si="559"/>
        <v>0</v>
      </c>
      <c r="P326" s="227"/>
      <c r="Q326" s="227"/>
      <c r="R326" s="228"/>
      <c r="S326" s="191">
        <f t="shared" si="545"/>
        <v>8000</v>
      </c>
      <c r="T326" s="227">
        <f t="shared" si="546"/>
        <v>8000</v>
      </c>
      <c r="U326" s="227">
        <f t="shared" si="547"/>
        <v>0</v>
      </c>
      <c r="V326" s="228">
        <f t="shared" si="548"/>
        <v>0</v>
      </c>
      <c r="W326" s="241"/>
    </row>
    <row r="327" spans="1:23" s="81" customFormat="1" ht="24.75" customHeight="1" x14ac:dyDescent="0.2">
      <c r="A327" s="330" t="s">
        <v>68</v>
      </c>
      <c r="B327" s="363" t="s">
        <v>536</v>
      </c>
      <c r="C327" s="191"/>
      <c r="D327" s="227"/>
      <c r="E327" s="227"/>
      <c r="F327" s="228"/>
      <c r="G327" s="191">
        <f t="shared" si="542"/>
        <v>40532.26</v>
      </c>
      <c r="H327" s="227">
        <f>12200-1978.28</f>
        <v>10221.719999999999</v>
      </c>
      <c r="I327" s="227">
        <f>1950-1950</f>
        <v>0</v>
      </c>
      <c r="J327" s="228">
        <f>41300-10989.46</f>
        <v>30310.54</v>
      </c>
      <c r="K327" s="191"/>
      <c r="L327" s="227"/>
      <c r="M327" s="227"/>
      <c r="N327" s="228"/>
      <c r="O327" s="191"/>
      <c r="P327" s="227"/>
      <c r="Q327" s="227"/>
      <c r="R327" s="228"/>
      <c r="S327" s="191">
        <f t="shared" si="545"/>
        <v>40532.26</v>
      </c>
      <c r="T327" s="227">
        <f t="shared" si="546"/>
        <v>10221.719999999999</v>
      </c>
      <c r="U327" s="227">
        <f t="shared" si="547"/>
        <v>0</v>
      </c>
      <c r="V327" s="228">
        <f t="shared" si="548"/>
        <v>30310.54</v>
      </c>
      <c r="W327" s="241"/>
    </row>
    <row r="328" spans="1:23" s="81" customFormat="1" ht="24.75" customHeight="1" x14ac:dyDescent="0.2">
      <c r="A328" s="330" t="s">
        <v>68</v>
      </c>
      <c r="B328" s="363" t="s">
        <v>537</v>
      </c>
      <c r="C328" s="191"/>
      <c r="D328" s="227"/>
      <c r="E328" s="227"/>
      <c r="F328" s="228"/>
      <c r="G328" s="191">
        <f t="shared" si="542"/>
        <v>3646.01</v>
      </c>
      <c r="H328" s="227">
        <f>1200-185.85</f>
        <v>1014.15</v>
      </c>
      <c r="I328" s="227">
        <f>185-183.89</f>
        <v>1.1100000000000136</v>
      </c>
      <c r="J328" s="228">
        <f>3600-968.14</f>
        <v>2631.86</v>
      </c>
      <c r="K328" s="191"/>
      <c r="L328" s="227"/>
      <c r="M328" s="227"/>
      <c r="N328" s="228"/>
      <c r="O328" s="191"/>
      <c r="P328" s="227"/>
      <c r="Q328" s="227"/>
      <c r="R328" s="228"/>
      <c r="S328" s="191">
        <f t="shared" si="545"/>
        <v>3646.01</v>
      </c>
      <c r="T328" s="227">
        <f t="shared" si="546"/>
        <v>1014.15</v>
      </c>
      <c r="U328" s="227">
        <f t="shared" si="547"/>
        <v>1.1100000000000136</v>
      </c>
      <c r="V328" s="240">
        <f t="shared" si="548"/>
        <v>2631.86</v>
      </c>
    </row>
    <row r="329" spans="1:23" s="81" customFormat="1" ht="24.75" customHeight="1" x14ac:dyDescent="0.2">
      <c r="A329" s="330" t="s">
        <v>68</v>
      </c>
      <c r="B329" s="363" t="s">
        <v>538</v>
      </c>
      <c r="C329" s="191"/>
      <c r="D329" s="227"/>
      <c r="E329" s="227"/>
      <c r="F329" s="228"/>
      <c r="G329" s="191">
        <f t="shared" si="542"/>
        <v>12967.74</v>
      </c>
      <c r="H329" s="227">
        <v>1978.28</v>
      </c>
      <c r="I329" s="227">
        <v>1950</v>
      </c>
      <c r="J329" s="228">
        <v>10989.46</v>
      </c>
      <c r="K329" s="191"/>
      <c r="L329" s="227"/>
      <c r="M329" s="227"/>
      <c r="N329" s="228"/>
      <c r="O329" s="191"/>
      <c r="P329" s="227"/>
      <c r="Q329" s="227"/>
      <c r="R329" s="228"/>
      <c r="S329" s="191">
        <f t="shared" si="545"/>
        <v>12967.74</v>
      </c>
      <c r="T329" s="227">
        <f t="shared" si="546"/>
        <v>1978.28</v>
      </c>
      <c r="U329" s="227">
        <f t="shared" si="547"/>
        <v>1950</v>
      </c>
      <c r="V329" s="228">
        <f t="shared" si="548"/>
        <v>10989.46</v>
      </c>
      <c r="W329" s="241"/>
    </row>
    <row r="330" spans="1:23" s="81" customFormat="1" ht="24.75" customHeight="1" x14ac:dyDescent="0.2">
      <c r="A330" s="330" t="s">
        <v>68</v>
      </c>
      <c r="B330" s="363" t="s">
        <v>539</v>
      </c>
      <c r="C330" s="191"/>
      <c r="D330" s="227"/>
      <c r="E330" s="227"/>
      <c r="F330" s="228"/>
      <c r="G330" s="191">
        <f t="shared" si="542"/>
        <v>1153.99</v>
      </c>
      <c r="H330" s="227">
        <v>185.85</v>
      </c>
      <c r="I330" s="227">
        <v>183.89</v>
      </c>
      <c r="J330" s="228">
        <v>968.14</v>
      </c>
      <c r="K330" s="191"/>
      <c r="L330" s="227"/>
      <c r="M330" s="227"/>
      <c r="N330" s="228"/>
      <c r="O330" s="191"/>
      <c r="P330" s="227"/>
      <c r="Q330" s="227"/>
      <c r="R330" s="228"/>
      <c r="S330" s="191">
        <f t="shared" si="545"/>
        <v>1153.99</v>
      </c>
      <c r="T330" s="227">
        <f t="shared" si="546"/>
        <v>185.85</v>
      </c>
      <c r="U330" s="227">
        <f t="shared" si="547"/>
        <v>183.89</v>
      </c>
      <c r="V330" s="228">
        <f t="shared" si="548"/>
        <v>968.14</v>
      </c>
      <c r="W330" s="241"/>
    </row>
    <row r="331" spans="1:23" s="81" customFormat="1" ht="24.75" customHeight="1" x14ac:dyDescent="0.2">
      <c r="A331" s="330" t="s">
        <v>68</v>
      </c>
      <c r="B331" s="363" t="s">
        <v>540</v>
      </c>
      <c r="C331" s="191"/>
      <c r="D331" s="227"/>
      <c r="E331" s="227"/>
      <c r="F331" s="228"/>
      <c r="G331" s="191">
        <f t="shared" si="542"/>
        <v>33309.990000000005</v>
      </c>
      <c r="H331" s="227">
        <v>8200</v>
      </c>
      <c r="I331" s="227"/>
      <c r="J331" s="228">
        <f>49800-24690.01</f>
        <v>25109.99</v>
      </c>
      <c r="K331" s="191"/>
      <c r="L331" s="227"/>
      <c r="M331" s="227"/>
      <c r="N331" s="228"/>
      <c r="O331" s="191"/>
      <c r="P331" s="227"/>
      <c r="Q331" s="227"/>
      <c r="R331" s="228"/>
      <c r="S331" s="191">
        <f t="shared" si="545"/>
        <v>33309.990000000005</v>
      </c>
      <c r="T331" s="227">
        <f t="shared" si="546"/>
        <v>8200</v>
      </c>
      <c r="U331" s="227">
        <f t="shared" si="547"/>
        <v>0</v>
      </c>
      <c r="V331" s="228">
        <f t="shared" si="548"/>
        <v>25109.99</v>
      </c>
      <c r="W331" s="241"/>
    </row>
    <row r="332" spans="1:23" s="81" customFormat="1" ht="35.25" customHeight="1" x14ac:dyDescent="0.2">
      <c r="A332" s="330" t="s">
        <v>68</v>
      </c>
      <c r="B332" s="363" t="s">
        <v>541</v>
      </c>
      <c r="C332" s="191"/>
      <c r="D332" s="227"/>
      <c r="E332" s="227"/>
      <c r="F332" s="228"/>
      <c r="G332" s="191">
        <f t="shared" si="542"/>
        <v>24690.01</v>
      </c>
      <c r="H332" s="227"/>
      <c r="I332" s="227"/>
      <c r="J332" s="228">
        <v>24690.01</v>
      </c>
      <c r="K332" s="191"/>
      <c r="L332" s="227"/>
      <c r="M332" s="227"/>
      <c r="N332" s="228"/>
      <c r="O332" s="191"/>
      <c r="P332" s="227"/>
      <c r="Q332" s="227"/>
      <c r="R332" s="228"/>
      <c r="S332" s="191">
        <f t="shared" si="545"/>
        <v>24690.01</v>
      </c>
      <c r="T332" s="227"/>
      <c r="U332" s="227"/>
      <c r="V332" s="228">
        <f t="shared" si="548"/>
        <v>24690.01</v>
      </c>
      <c r="W332" s="241"/>
    </row>
    <row r="333" spans="1:23" s="81" customFormat="1" ht="26.25" customHeight="1" x14ac:dyDescent="0.2">
      <c r="A333" s="330" t="s">
        <v>68</v>
      </c>
      <c r="B333" s="363" t="s">
        <v>543</v>
      </c>
      <c r="C333" s="191">
        <f t="shared" ref="C333" si="560">D333+F333</f>
        <v>0</v>
      </c>
      <c r="D333" s="227"/>
      <c r="E333" s="227"/>
      <c r="F333" s="228"/>
      <c r="G333" s="191">
        <f t="shared" ref="G333" si="561">H333+J333</f>
        <v>62200</v>
      </c>
      <c r="H333" s="227">
        <v>62200</v>
      </c>
      <c r="I333" s="227"/>
      <c r="J333" s="228"/>
      <c r="K333" s="191">
        <f t="shared" ref="K333" si="562">L333+N333</f>
        <v>0</v>
      </c>
      <c r="L333" s="227"/>
      <c r="M333" s="227"/>
      <c r="N333" s="228"/>
      <c r="O333" s="191">
        <f t="shared" ref="O333" si="563">P333+R333</f>
        <v>0</v>
      </c>
      <c r="P333" s="227"/>
      <c r="Q333" s="227"/>
      <c r="R333" s="228"/>
      <c r="S333" s="191">
        <f t="shared" ref="S333" si="564">T333+V333</f>
        <v>62200</v>
      </c>
      <c r="T333" s="227">
        <f t="shared" ref="T333" si="565">D333+H333+L333+P333</f>
        <v>62200</v>
      </c>
      <c r="U333" s="227">
        <f t="shared" ref="U333" si="566">E333+I333+M333+Q333</f>
        <v>0</v>
      </c>
      <c r="V333" s="228">
        <f t="shared" ref="V333" si="567">F333+J333+N333+R333</f>
        <v>0</v>
      </c>
      <c r="W333" s="241"/>
    </row>
    <row r="334" spans="1:23" s="81" customFormat="1" ht="17.25" customHeight="1" x14ac:dyDescent="0.2">
      <c r="A334" s="330" t="s">
        <v>68</v>
      </c>
      <c r="B334" s="363" t="s">
        <v>535</v>
      </c>
      <c r="C334" s="191"/>
      <c r="D334" s="227"/>
      <c r="E334" s="227"/>
      <c r="F334" s="228"/>
      <c r="G334" s="191">
        <f t="shared" si="542"/>
        <v>133200</v>
      </c>
      <c r="H334" s="227">
        <v>133200</v>
      </c>
      <c r="I334" s="227">
        <v>4000</v>
      </c>
      <c r="J334" s="228"/>
      <c r="K334" s="191"/>
      <c r="L334" s="227"/>
      <c r="M334" s="227"/>
      <c r="N334" s="228"/>
      <c r="O334" s="191"/>
      <c r="P334" s="227"/>
      <c r="Q334" s="227"/>
      <c r="R334" s="228"/>
      <c r="S334" s="191">
        <f t="shared" si="545"/>
        <v>133200</v>
      </c>
      <c r="T334" s="227">
        <f t="shared" si="546"/>
        <v>133200</v>
      </c>
      <c r="U334" s="227">
        <f t="shared" si="547"/>
        <v>4000</v>
      </c>
      <c r="V334" s="228">
        <f t="shared" si="548"/>
        <v>0</v>
      </c>
      <c r="W334" s="241"/>
    </row>
    <row r="335" spans="1:23" s="81" customFormat="1" ht="25.5" customHeight="1" x14ac:dyDescent="0.2">
      <c r="A335" s="330" t="s">
        <v>68</v>
      </c>
      <c r="B335" s="363" t="s">
        <v>433</v>
      </c>
      <c r="C335" s="191">
        <f t="shared" si="557"/>
        <v>346300</v>
      </c>
      <c r="D335" s="227">
        <f>347000-700</f>
        <v>346300</v>
      </c>
      <c r="E335" s="227"/>
      <c r="F335" s="228"/>
      <c r="G335" s="191">
        <f t="shared" si="542"/>
        <v>17100</v>
      </c>
      <c r="H335" s="227">
        <v>17100</v>
      </c>
      <c r="I335" s="227"/>
      <c r="J335" s="228"/>
      <c r="K335" s="191"/>
      <c r="L335" s="227"/>
      <c r="M335" s="227"/>
      <c r="N335" s="228"/>
      <c r="O335" s="191"/>
      <c r="P335" s="227"/>
      <c r="Q335" s="227"/>
      <c r="R335" s="228"/>
      <c r="S335" s="191">
        <f t="shared" si="545"/>
        <v>363400</v>
      </c>
      <c r="T335" s="227">
        <f t="shared" si="546"/>
        <v>363400</v>
      </c>
      <c r="U335" s="227">
        <f t="shared" si="547"/>
        <v>0</v>
      </c>
      <c r="V335" s="240">
        <f t="shared" si="548"/>
        <v>0</v>
      </c>
    </row>
    <row r="336" spans="1:23" s="81" customFormat="1" ht="25.5" customHeight="1" x14ac:dyDescent="0.2">
      <c r="A336" s="330" t="s">
        <v>68</v>
      </c>
      <c r="B336" s="363" t="s">
        <v>542</v>
      </c>
      <c r="C336" s="191">
        <f t="shared" ref="C336" si="568">D336+F336</f>
        <v>700</v>
      </c>
      <c r="D336" s="227">
        <v>700</v>
      </c>
      <c r="E336" s="227"/>
      <c r="F336" s="228"/>
      <c r="G336" s="191">
        <f t="shared" ref="G336" si="569">H336+J336</f>
        <v>0</v>
      </c>
      <c r="H336" s="227"/>
      <c r="I336" s="227"/>
      <c r="J336" s="228"/>
      <c r="K336" s="191"/>
      <c r="L336" s="227"/>
      <c r="M336" s="227"/>
      <c r="N336" s="228"/>
      <c r="O336" s="191"/>
      <c r="P336" s="227"/>
      <c r="Q336" s="227"/>
      <c r="R336" s="228"/>
      <c r="S336" s="191">
        <f t="shared" ref="S336" si="570">T336+V336</f>
        <v>700</v>
      </c>
      <c r="T336" s="227">
        <f t="shared" ref="T336" si="571">D336+H336+L336+P336</f>
        <v>700</v>
      </c>
      <c r="U336" s="227">
        <f t="shared" ref="U336" si="572">E336+I336+M336+Q336</f>
        <v>0</v>
      </c>
      <c r="V336" s="240">
        <f t="shared" ref="V336" si="573">F336+J336+N336+R336</f>
        <v>0</v>
      </c>
    </row>
    <row r="337" spans="1:23" x14ac:dyDescent="0.2">
      <c r="A337" s="330"/>
      <c r="B337" s="355" t="s">
        <v>401</v>
      </c>
      <c r="C337" s="189">
        <f t="shared" si="540"/>
        <v>180900</v>
      </c>
      <c r="D337" s="190">
        <f>SUM(D338:D344)</f>
        <v>180900</v>
      </c>
      <c r="E337" s="190">
        <f>SUM(E338:E344)</f>
        <v>109500</v>
      </c>
      <c r="F337" s="190">
        <f>SUM(F338:F344)</f>
        <v>0</v>
      </c>
      <c r="G337" s="189">
        <f t="shared" si="542"/>
        <v>642640</v>
      </c>
      <c r="H337" s="190">
        <f>SUM(H338:H344)</f>
        <v>642640</v>
      </c>
      <c r="I337" s="190">
        <f>SUM(I338:I344)</f>
        <v>615461</v>
      </c>
      <c r="J337" s="190">
        <f>SUM(J338:J344)</f>
        <v>0</v>
      </c>
      <c r="K337" s="189">
        <f t="shared" si="543"/>
        <v>3670.5299999999997</v>
      </c>
      <c r="L337" s="190">
        <f>SUM(L338:L344)</f>
        <v>3670.5299999999997</v>
      </c>
      <c r="M337" s="190">
        <f>SUM(M338:M344)</f>
        <v>0</v>
      </c>
      <c r="N337" s="190">
        <f>SUM(N338:N344)</f>
        <v>0</v>
      </c>
      <c r="O337" s="189">
        <f t="shared" si="544"/>
        <v>0</v>
      </c>
      <c r="P337" s="190">
        <f>SUM(P338:P344)</f>
        <v>0</v>
      </c>
      <c r="Q337" s="190">
        <f>SUM(Q338:Q344)</f>
        <v>0</v>
      </c>
      <c r="R337" s="190">
        <f>SUM(R338:R344)</f>
        <v>0</v>
      </c>
      <c r="S337" s="189">
        <f t="shared" ref="S337:S391" si="574">T337+V337</f>
        <v>827210.53</v>
      </c>
      <c r="T337" s="190">
        <f>SUM(T338:T344)</f>
        <v>827210.53</v>
      </c>
      <c r="U337" s="190">
        <f>SUM(U338:U344)</f>
        <v>724961</v>
      </c>
      <c r="V337" s="251">
        <f>SUM(V338:V344)</f>
        <v>0</v>
      </c>
      <c r="W337" s="146"/>
    </row>
    <row r="338" spans="1:23" x14ac:dyDescent="0.2">
      <c r="A338" s="330" t="s">
        <v>68</v>
      </c>
      <c r="B338" s="326" t="s">
        <v>307</v>
      </c>
      <c r="C338" s="191">
        <f t="shared" si="540"/>
        <v>0</v>
      </c>
      <c r="D338" s="192"/>
      <c r="E338" s="192"/>
      <c r="F338" s="240"/>
      <c r="G338" s="191">
        <f t="shared" si="542"/>
        <v>632000</v>
      </c>
      <c r="H338" s="192">
        <v>632000</v>
      </c>
      <c r="I338" s="192">
        <v>614200</v>
      </c>
      <c r="J338" s="240"/>
      <c r="K338" s="191">
        <f t="shared" si="543"/>
        <v>0</v>
      </c>
      <c r="L338" s="192"/>
      <c r="M338" s="192"/>
      <c r="N338" s="240"/>
      <c r="O338" s="191">
        <f t="shared" si="544"/>
        <v>0</v>
      </c>
      <c r="P338" s="192"/>
      <c r="Q338" s="192"/>
      <c r="R338" s="240"/>
      <c r="S338" s="191">
        <f t="shared" si="574"/>
        <v>632000</v>
      </c>
      <c r="T338" s="227">
        <f t="shared" ref="T338:T367" si="575">D338+H338+L338+P338</f>
        <v>632000</v>
      </c>
      <c r="U338" s="227">
        <f t="shared" ref="U338:V338" si="576">E338+I338+M338+Q338</f>
        <v>614200</v>
      </c>
      <c r="V338" s="228">
        <f t="shared" si="576"/>
        <v>0</v>
      </c>
      <c r="W338" s="150"/>
    </row>
    <row r="339" spans="1:23" x14ac:dyDescent="0.2">
      <c r="A339" s="330" t="s">
        <v>68</v>
      </c>
      <c r="B339" s="326" t="s">
        <v>491</v>
      </c>
      <c r="C339" s="191">
        <f t="shared" ref="C339" si="577">D339+F339</f>
        <v>0</v>
      </c>
      <c r="D339" s="192"/>
      <c r="E339" s="192"/>
      <c r="F339" s="240"/>
      <c r="G339" s="191">
        <f t="shared" ref="G339:G340" si="578">H339+J339</f>
        <v>9360</v>
      </c>
      <c r="H339" s="192">
        <v>9360</v>
      </c>
      <c r="I339" s="192"/>
      <c r="J339" s="240"/>
      <c r="K339" s="191">
        <f t="shared" ref="K339" si="579">L339+N339</f>
        <v>0</v>
      </c>
      <c r="L339" s="192"/>
      <c r="M339" s="192"/>
      <c r="N339" s="240"/>
      <c r="O339" s="191">
        <f t="shared" ref="O339" si="580">P339+R339</f>
        <v>0</v>
      </c>
      <c r="P339" s="192"/>
      <c r="Q339" s="192"/>
      <c r="R339" s="240"/>
      <c r="S339" s="191">
        <f t="shared" ref="S339:S344" si="581">T339+V339</f>
        <v>9360</v>
      </c>
      <c r="T339" s="227">
        <f t="shared" si="575"/>
        <v>9360</v>
      </c>
      <c r="U339" s="227">
        <f t="shared" ref="U339:U345" si="582">E339+I339+M339+Q339</f>
        <v>0</v>
      </c>
      <c r="V339" s="228">
        <f t="shared" ref="V339:V345" si="583">F339+J339+N339+R339</f>
        <v>0</v>
      </c>
      <c r="W339" s="233"/>
    </row>
    <row r="340" spans="1:23" s="81" customFormat="1" ht="22.5" customHeight="1" x14ac:dyDescent="0.2">
      <c r="A340" s="330" t="s">
        <v>68</v>
      </c>
      <c r="B340" s="363" t="s">
        <v>556</v>
      </c>
      <c r="C340" s="191"/>
      <c r="D340" s="227"/>
      <c r="E340" s="227"/>
      <c r="F340" s="228"/>
      <c r="G340" s="191">
        <f t="shared" si="578"/>
        <v>1280</v>
      </c>
      <c r="H340" s="227">
        <v>1280</v>
      </c>
      <c r="I340" s="227">
        <v>1261</v>
      </c>
      <c r="J340" s="228"/>
      <c r="K340" s="191"/>
      <c r="L340" s="227"/>
      <c r="M340" s="227"/>
      <c r="N340" s="228"/>
      <c r="O340" s="191"/>
      <c r="P340" s="227"/>
      <c r="Q340" s="227"/>
      <c r="R340" s="228"/>
      <c r="S340" s="191">
        <f t="shared" si="581"/>
        <v>1280</v>
      </c>
      <c r="T340" s="227">
        <f t="shared" si="575"/>
        <v>1280</v>
      </c>
      <c r="U340" s="227">
        <f t="shared" si="582"/>
        <v>1261</v>
      </c>
      <c r="V340" s="228">
        <f t="shared" si="583"/>
        <v>0</v>
      </c>
      <c r="W340" s="241"/>
    </row>
    <row r="341" spans="1:23" ht="25.5" x14ac:dyDescent="0.2">
      <c r="A341" s="330" t="s">
        <v>68</v>
      </c>
      <c r="B341" s="326" t="s">
        <v>344</v>
      </c>
      <c r="C341" s="191">
        <f t="shared" si="540"/>
        <v>164400</v>
      </c>
      <c r="D341" s="192">
        <v>164400</v>
      </c>
      <c r="E341" s="192">
        <v>109500</v>
      </c>
      <c r="F341" s="240"/>
      <c r="G341" s="191">
        <f t="shared" si="542"/>
        <v>0</v>
      </c>
      <c r="H341" s="192"/>
      <c r="I341" s="192"/>
      <c r="J341" s="240"/>
      <c r="K341" s="191">
        <f t="shared" si="543"/>
        <v>0</v>
      </c>
      <c r="L341" s="192"/>
      <c r="M341" s="192"/>
      <c r="N341" s="240"/>
      <c r="O341" s="191">
        <f t="shared" si="544"/>
        <v>0</v>
      </c>
      <c r="P341" s="192"/>
      <c r="Q341" s="192"/>
      <c r="R341" s="240"/>
      <c r="S341" s="191">
        <f t="shared" si="581"/>
        <v>164400</v>
      </c>
      <c r="T341" s="227">
        <f t="shared" si="575"/>
        <v>164400</v>
      </c>
      <c r="U341" s="227">
        <f t="shared" si="582"/>
        <v>109500</v>
      </c>
      <c r="V341" s="228">
        <f t="shared" si="583"/>
        <v>0</v>
      </c>
      <c r="W341" s="150"/>
    </row>
    <row r="342" spans="1:23" x14ac:dyDescent="0.2">
      <c r="A342" s="330" t="s">
        <v>68</v>
      </c>
      <c r="B342" s="326" t="s">
        <v>306</v>
      </c>
      <c r="C342" s="191">
        <f t="shared" si="540"/>
        <v>16500</v>
      </c>
      <c r="D342" s="192">
        <v>16500</v>
      </c>
      <c r="E342" s="192"/>
      <c r="F342" s="240"/>
      <c r="G342" s="191">
        <f t="shared" si="542"/>
        <v>0</v>
      </c>
      <c r="H342" s="192"/>
      <c r="I342" s="192"/>
      <c r="J342" s="240"/>
      <c r="K342" s="191">
        <f t="shared" si="543"/>
        <v>0</v>
      </c>
      <c r="L342" s="192"/>
      <c r="M342" s="192"/>
      <c r="N342" s="240"/>
      <c r="O342" s="191">
        <f t="shared" si="544"/>
        <v>0</v>
      </c>
      <c r="P342" s="192"/>
      <c r="Q342" s="192"/>
      <c r="R342" s="240"/>
      <c r="S342" s="191">
        <f t="shared" si="581"/>
        <v>16500</v>
      </c>
      <c r="T342" s="227">
        <f t="shared" si="575"/>
        <v>16500</v>
      </c>
      <c r="U342" s="227">
        <f t="shared" si="582"/>
        <v>0</v>
      </c>
      <c r="V342" s="228">
        <f t="shared" si="583"/>
        <v>0</v>
      </c>
      <c r="W342" s="150"/>
    </row>
    <row r="343" spans="1:23" x14ac:dyDescent="0.2">
      <c r="A343" s="330" t="s">
        <v>68</v>
      </c>
      <c r="B343" s="326" t="s">
        <v>308</v>
      </c>
      <c r="C343" s="191"/>
      <c r="D343" s="192"/>
      <c r="E343" s="192"/>
      <c r="F343" s="240"/>
      <c r="G343" s="191"/>
      <c r="H343" s="192"/>
      <c r="I343" s="192"/>
      <c r="J343" s="240"/>
      <c r="K343" s="191">
        <f t="shared" si="543"/>
        <v>3100</v>
      </c>
      <c r="L343" s="192">
        <v>3100</v>
      </c>
      <c r="M343" s="192"/>
      <c r="N343" s="240"/>
      <c r="O343" s="191"/>
      <c r="P343" s="192"/>
      <c r="Q343" s="192"/>
      <c r="R343" s="240"/>
      <c r="S343" s="191">
        <f t="shared" si="581"/>
        <v>3100</v>
      </c>
      <c r="T343" s="227">
        <f t="shared" si="575"/>
        <v>3100</v>
      </c>
      <c r="U343" s="227">
        <f t="shared" si="582"/>
        <v>0</v>
      </c>
      <c r="V343" s="228">
        <f t="shared" si="583"/>
        <v>0</v>
      </c>
      <c r="W343" s="150"/>
    </row>
    <row r="344" spans="1:23" x14ac:dyDescent="0.2">
      <c r="A344" s="330" t="s">
        <v>68</v>
      </c>
      <c r="B344" s="326" t="s">
        <v>484</v>
      </c>
      <c r="C344" s="191">
        <f t="shared" si="540"/>
        <v>0</v>
      </c>
      <c r="D344" s="192"/>
      <c r="E344" s="192"/>
      <c r="F344" s="240"/>
      <c r="G344" s="191">
        <f t="shared" si="542"/>
        <v>0</v>
      </c>
      <c r="H344" s="192"/>
      <c r="I344" s="192"/>
      <c r="J344" s="240"/>
      <c r="K344" s="191">
        <f t="shared" si="543"/>
        <v>570.53</v>
      </c>
      <c r="L344" s="192">
        <v>570.53</v>
      </c>
      <c r="M344" s="192"/>
      <c r="N344" s="240"/>
      <c r="O344" s="191">
        <f t="shared" si="544"/>
        <v>0</v>
      </c>
      <c r="P344" s="192"/>
      <c r="Q344" s="192"/>
      <c r="R344" s="240"/>
      <c r="S344" s="191">
        <f t="shared" si="581"/>
        <v>570.53</v>
      </c>
      <c r="T344" s="227">
        <f t="shared" si="575"/>
        <v>570.53</v>
      </c>
      <c r="U344" s="227">
        <f t="shared" si="582"/>
        <v>0</v>
      </c>
      <c r="V344" s="228">
        <f t="shared" si="583"/>
        <v>0</v>
      </c>
      <c r="W344" s="150"/>
    </row>
    <row r="345" spans="1:23" ht="25.5" x14ac:dyDescent="0.2">
      <c r="A345" s="330"/>
      <c r="B345" s="355" t="s">
        <v>397</v>
      </c>
      <c r="C345" s="189">
        <f t="shared" si="540"/>
        <v>217100</v>
      </c>
      <c r="D345" s="190">
        <f>SUM(D346:D352)</f>
        <v>217100</v>
      </c>
      <c r="E345" s="190">
        <f>SUM(E346:E352)</f>
        <v>136400</v>
      </c>
      <c r="F345" s="251">
        <f>SUM(F346:F352)</f>
        <v>0</v>
      </c>
      <c r="G345" s="381">
        <f t="shared" si="542"/>
        <v>449820</v>
      </c>
      <c r="H345" s="190">
        <f>SUM(H346:H352)</f>
        <v>446520</v>
      </c>
      <c r="I345" s="190">
        <f t="shared" ref="I345:J345" si="584">SUM(I346:I352)</f>
        <v>432650</v>
      </c>
      <c r="J345" s="190">
        <f t="shared" si="584"/>
        <v>3300</v>
      </c>
      <c r="K345" s="189">
        <f t="shared" si="543"/>
        <v>1600</v>
      </c>
      <c r="L345" s="190">
        <f>SUM(L346:L352)</f>
        <v>1600</v>
      </c>
      <c r="M345" s="190">
        <f>SUM(M346:M352)</f>
        <v>0</v>
      </c>
      <c r="N345" s="251">
        <f>SUM(N346:N352)</f>
        <v>0</v>
      </c>
      <c r="O345" s="381">
        <f t="shared" si="544"/>
        <v>0</v>
      </c>
      <c r="P345" s="190">
        <f>SUM(P346:P352)</f>
        <v>0</v>
      </c>
      <c r="Q345" s="190">
        <f>SUM(Q346:Q352)</f>
        <v>0</v>
      </c>
      <c r="R345" s="190">
        <f>SUM(R346:R352)</f>
        <v>0</v>
      </c>
      <c r="S345" s="189">
        <f t="shared" si="574"/>
        <v>668520</v>
      </c>
      <c r="T345" s="245">
        <f t="shared" si="575"/>
        <v>665220</v>
      </c>
      <c r="U345" s="245">
        <f t="shared" si="582"/>
        <v>569050</v>
      </c>
      <c r="V345" s="377">
        <f t="shared" si="583"/>
        <v>3300</v>
      </c>
      <c r="W345" s="150"/>
    </row>
    <row r="346" spans="1:23" x14ac:dyDescent="0.2">
      <c r="A346" s="330" t="s">
        <v>68</v>
      </c>
      <c r="B346" s="326" t="s">
        <v>307</v>
      </c>
      <c r="C346" s="191">
        <f t="shared" si="540"/>
        <v>0</v>
      </c>
      <c r="D346" s="192"/>
      <c r="E346" s="192"/>
      <c r="F346" s="240"/>
      <c r="G346" s="191">
        <f t="shared" si="542"/>
        <v>444300</v>
      </c>
      <c r="H346" s="192">
        <v>444300</v>
      </c>
      <c r="I346" s="192">
        <v>432000</v>
      </c>
      <c r="J346" s="240"/>
      <c r="K346" s="191">
        <f t="shared" si="543"/>
        <v>0</v>
      </c>
      <c r="L346" s="192"/>
      <c r="M346" s="192"/>
      <c r="N346" s="240"/>
      <c r="O346" s="191">
        <f t="shared" si="544"/>
        <v>0</v>
      </c>
      <c r="P346" s="192"/>
      <c r="Q346" s="192"/>
      <c r="R346" s="240"/>
      <c r="S346" s="191">
        <f t="shared" ref="S346:S352" si="585">T346+V346</f>
        <v>444300</v>
      </c>
      <c r="T346" s="227">
        <f t="shared" si="575"/>
        <v>444300</v>
      </c>
      <c r="U346" s="227">
        <f t="shared" ref="U346:U353" si="586">E346+I346+M346+Q346</f>
        <v>432000</v>
      </c>
      <c r="V346" s="240">
        <f t="shared" ref="V346:V353" si="587">F346+J346+N346+R346</f>
        <v>0</v>
      </c>
    </row>
    <row r="347" spans="1:23" x14ac:dyDescent="0.2">
      <c r="A347" s="330" t="s">
        <v>68</v>
      </c>
      <c r="B347" s="326" t="s">
        <v>491</v>
      </c>
      <c r="C347" s="191">
        <f t="shared" si="540"/>
        <v>0</v>
      </c>
      <c r="D347" s="192"/>
      <c r="E347" s="192"/>
      <c r="F347" s="240"/>
      <c r="G347" s="191">
        <f t="shared" si="542"/>
        <v>4860</v>
      </c>
      <c r="H347" s="192">
        <f>3360-1800</f>
        <v>1560</v>
      </c>
      <c r="I347" s="192"/>
      <c r="J347" s="240">
        <f>1500+1800</f>
        <v>3300</v>
      </c>
      <c r="K347" s="191">
        <f t="shared" si="543"/>
        <v>0</v>
      </c>
      <c r="L347" s="192"/>
      <c r="M347" s="192"/>
      <c r="N347" s="240"/>
      <c r="O347" s="191">
        <f t="shared" si="544"/>
        <v>0</v>
      </c>
      <c r="P347" s="192"/>
      <c r="Q347" s="192"/>
      <c r="R347" s="240"/>
      <c r="S347" s="191">
        <f t="shared" si="585"/>
        <v>4860</v>
      </c>
      <c r="T347" s="227">
        <f t="shared" si="575"/>
        <v>1560</v>
      </c>
      <c r="U347" s="227">
        <f t="shared" si="586"/>
        <v>0</v>
      </c>
      <c r="V347" s="228">
        <f t="shared" si="587"/>
        <v>3300</v>
      </c>
      <c r="W347" s="150"/>
    </row>
    <row r="348" spans="1:23" s="81" customFormat="1" ht="22.5" customHeight="1" x14ac:dyDescent="0.2">
      <c r="A348" s="330" t="s">
        <v>68</v>
      </c>
      <c r="B348" s="363" t="s">
        <v>556</v>
      </c>
      <c r="C348" s="191"/>
      <c r="D348" s="227"/>
      <c r="E348" s="227"/>
      <c r="F348" s="228"/>
      <c r="G348" s="191">
        <f t="shared" si="542"/>
        <v>660</v>
      </c>
      <c r="H348" s="227">
        <v>660</v>
      </c>
      <c r="I348" s="227">
        <v>650</v>
      </c>
      <c r="J348" s="228"/>
      <c r="K348" s="191"/>
      <c r="L348" s="227"/>
      <c r="M348" s="227"/>
      <c r="N348" s="228"/>
      <c r="O348" s="191"/>
      <c r="P348" s="227"/>
      <c r="Q348" s="227"/>
      <c r="R348" s="228"/>
      <c r="S348" s="191">
        <f t="shared" si="585"/>
        <v>660</v>
      </c>
      <c r="T348" s="227">
        <f t="shared" si="575"/>
        <v>660</v>
      </c>
      <c r="U348" s="227">
        <f t="shared" si="586"/>
        <v>650</v>
      </c>
      <c r="V348" s="228">
        <f t="shared" si="587"/>
        <v>0</v>
      </c>
      <c r="W348" s="241"/>
    </row>
    <row r="349" spans="1:23" ht="25.5" x14ac:dyDescent="0.2">
      <c r="A349" s="330" t="s">
        <v>68</v>
      </c>
      <c r="B349" s="326" t="s">
        <v>575</v>
      </c>
      <c r="C349" s="191">
        <f t="shared" ref="C349" si="588">D349+F349</f>
        <v>2700</v>
      </c>
      <c r="D349" s="192">
        <v>2700</v>
      </c>
      <c r="E349" s="192"/>
      <c r="F349" s="240"/>
      <c r="G349" s="191">
        <f t="shared" ref="G349" si="589">H349+J349</f>
        <v>0</v>
      </c>
      <c r="H349" s="192"/>
      <c r="I349" s="192"/>
      <c r="J349" s="240"/>
      <c r="K349" s="191">
        <f t="shared" ref="K349" si="590">L349+N349</f>
        <v>0</v>
      </c>
      <c r="L349" s="192"/>
      <c r="M349" s="192"/>
      <c r="N349" s="240"/>
      <c r="O349" s="191">
        <f t="shared" ref="O349" si="591">P349+R349</f>
        <v>0</v>
      </c>
      <c r="P349" s="192"/>
      <c r="Q349" s="192"/>
      <c r="R349" s="240"/>
      <c r="S349" s="191">
        <f t="shared" ref="S349" si="592">T349+V349</f>
        <v>2700</v>
      </c>
      <c r="T349" s="227">
        <f t="shared" ref="T349" si="593">D349+H349+L349+P349</f>
        <v>2700</v>
      </c>
      <c r="U349" s="227">
        <f t="shared" ref="U349" si="594">E349+I349+M349+Q349</f>
        <v>0</v>
      </c>
      <c r="V349" s="228">
        <f t="shared" ref="V349" si="595">F349+J349+N349+R349</f>
        <v>0</v>
      </c>
      <c r="W349" s="150"/>
    </row>
    <row r="350" spans="1:23" ht="25.5" x14ac:dyDescent="0.2">
      <c r="A350" s="330" t="s">
        <v>68</v>
      </c>
      <c r="B350" s="326" t="s">
        <v>344</v>
      </c>
      <c r="C350" s="191">
        <f t="shared" si="540"/>
        <v>194400</v>
      </c>
      <c r="D350" s="192">
        <v>194400</v>
      </c>
      <c r="E350" s="192">
        <v>136400</v>
      </c>
      <c r="F350" s="240"/>
      <c r="G350" s="191">
        <f t="shared" si="542"/>
        <v>0</v>
      </c>
      <c r="H350" s="192"/>
      <c r="I350" s="192"/>
      <c r="J350" s="240"/>
      <c r="K350" s="191">
        <f t="shared" si="543"/>
        <v>0</v>
      </c>
      <c r="L350" s="192"/>
      <c r="M350" s="192"/>
      <c r="N350" s="240"/>
      <c r="O350" s="191">
        <f t="shared" si="544"/>
        <v>0</v>
      </c>
      <c r="P350" s="192"/>
      <c r="Q350" s="192"/>
      <c r="R350" s="240"/>
      <c r="S350" s="191">
        <f t="shared" si="585"/>
        <v>194400</v>
      </c>
      <c r="T350" s="227">
        <f t="shared" si="575"/>
        <v>194400</v>
      </c>
      <c r="U350" s="227">
        <f t="shared" si="586"/>
        <v>136400</v>
      </c>
      <c r="V350" s="228">
        <f t="shared" si="587"/>
        <v>0</v>
      </c>
      <c r="W350" s="150"/>
    </row>
    <row r="351" spans="1:23" x14ac:dyDescent="0.2">
      <c r="A351" s="330" t="s">
        <v>68</v>
      </c>
      <c r="B351" s="326" t="s">
        <v>306</v>
      </c>
      <c r="C351" s="191">
        <f t="shared" si="540"/>
        <v>20000</v>
      </c>
      <c r="D351" s="192">
        <f>21000-1000</f>
        <v>20000</v>
      </c>
      <c r="E351" s="192"/>
      <c r="F351" s="240"/>
      <c r="G351" s="191">
        <f t="shared" si="542"/>
        <v>0</v>
      </c>
      <c r="H351" s="192"/>
      <c r="I351" s="192"/>
      <c r="J351" s="240"/>
      <c r="K351" s="191">
        <f t="shared" si="543"/>
        <v>0</v>
      </c>
      <c r="L351" s="192"/>
      <c r="M351" s="192"/>
      <c r="N351" s="240"/>
      <c r="O351" s="191">
        <f t="shared" si="544"/>
        <v>0</v>
      </c>
      <c r="P351" s="192"/>
      <c r="Q351" s="192"/>
      <c r="R351" s="240"/>
      <c r="S351" s="191">
        <f t="shared" si="585"/>
        <v>20000</v>
      </c>
      <c r="T351" s="227">
        <f t="shared" si="575"/>
        <v>20000</v>
      </c>
      <c r="U351" s="227">
        <f t="shared" si="586"/>
        <v>0</v>
      </c>
      <c r="V351" s="228">
        <f t="shared" si="587"/>
        <v>0</v>
      </c>
      <c r="W351" s="150"/>
    </row>
    <row r="352" spans="1:23" x14ac:dyDescent="0.2">
      <c r="A352" s="330" t="s">
        <v>68</v>
      </c>
      <c r="B352" s="326" t="s">
        <v>308</v>
      </c>
      <c r="C352" s="191">
        <f t="shared" si="540"/>
        <v>0</v>
      </c>
      <c r="D352" s="192"/>
      <c r="E352" s="192"/>
      <c r="F352" s="240"/>
      <c r="G352" s="191">
        <f t="shared" si="542"/>
        <v>0</v>
      </c>
      <c r="H352" s="192"/>
      <c r="I352" s="192"/>
      <c r="J352" s="240"/>
      <c r="K352" s="191">
        <f t="shared" si="543"/>
        <v>1600</v>
      </c>
      <c r="L352" s="192">
        <v>1600</v>
      </c>
      <c r="M352" s="192"/>
      <c r="N352" s="240"/>
      <c r="O352" s="191">
        <f t="shared" si="544"/>
        <v>0</v>
      </c>
      <c r="P352" s="192"/>
      <c r="Q352" s="192"/>
      <c r="R352" s="240"/>
      <c r="S352" s="191">
        <f t="shared" si="585"/>
        <v>1600</v>
      </c>
      <c r="T352" s="227">
        <f t="shared" si="575"/>
        <v>1600</v>
      </c>
      <c r="U352" s="227">
        <f t="shared" si="586"/>
        <v>0</v>
      </c>
      <c r="V352" s="240">
        <f t="shared" si="587"/>
        <v>0</v>
      </c>
    </row>
    <row r="353" spans="1:23" x14ac:dyDescent="0.2">
      <c r="A353" s="329"/>
      <c r="B353" s="355" t="s">
        <v>345</v>
      </c>
      <c r="C353" s="189">
        <f t="shared" si="540"/>
        <v>417600</v>
      </c>
      <c r="D353" s="190">
        <f>SUM(D354:D360)</f>
        <v>414600</v>
      </c>
      <c r="E353" s="190">
        <f>SUM(E354:E360)</f>
        <v>303300</v>
      </c>
      <c r="F353" s="251">
        <f>SUM(F354:F360)</f>
        <v>3000</v>
      </c>
      <c r="G353" s="381">
        <f t="shared" si="542"/>
        <v>860730</v>
      </c>
      <c r="H353" s="190">
        <f>SUM(H354:H360)</f>
        <v>860730</v>
      </c>
      <c r="I353" s="190">
        <f>SUM(I354:I360)</f>
        <v>837406</v>
      </c>
      <c r="J353" s="190">
        <f>SUM(J354:J360)</f>
        <v>0</v>
      </c>
      <c r="K353" s="189">
        <f t="shared" si="543"/>
        <v>15908.35</v>
      </c>
      <c r="L353" s="190">
        <f>SUM(L354:L360)</f>
        <v>12400</v>
      </c>
      <c r="M353" s="190">
        <f>SUM(M354:M360)</f>
        <v>0</v>
      </c>
      <c r="N353" s="251">
        <f>SUM(N354:N360)</f>
        <v>3508.35</v>
      </c>
      <c r="O353" s="381">
        <f t="shared" si="544"/>
        <v>0</v>
      </c>
      <c r="P353" s="190">
        <f>SUM(P354:P360)</f>
        <v>0</v>
      </c>
      <c r="Q353" s="190">
        <f>SUM(Q354:Q360)</f>
        <v>0</v>
      </c>
      <c r="R353" s="190">
        <f>SUM(R354:R360)</f>
        <v>0</v>
      </c>
      <c r="S353" s="189">
        <f t="shared" si="574"/>
        <v>1294238.3500000001</v>
      </c>
      <c r="T353" s="245">
        <f t="shared" si="575"/>
        <v>1287730</v>
      </c>
      <c r="U353" s="245">
        <f t="shared" si="586"/>
        <v>1140706</v>
      </c>
      <c r="V353" s="251">
        <f t="shared" si="587"/>
        <v>6508.35</v>
      </c>
    </row>
    <row r="354" spans="1:23" x14ac:dyDescent="0.2">
      <c r="A354" s="330" t="s">
        <v>68</v>
      </c>
      <c r="B354" s="326" t="s">
        <v>307</v>
      </c>
      <c r="C354" s="191">
        <f t="shared" si="540"/>
        <v>0</v>
      </c>
      <c r="D354" s="192"/>
      <c r="E354" s="192"/>
      <c r="F354" s="240"/>
      <c r="G354" s="391">
        <f t="shared" si="542"/>
        <v>847200</v>
      </c>
      <c r="H354" s="192">
        <v>847200</v>
      </c>
      <c r="I354" s="192">
        <f>829000+6800</f>
        <v>835800</v>
      </c>
      <c r="J354" s="240"/>
      <c r="K354" s="191">
        <f t="shared" si="543"/>
        <v>0</v>
      </c>
      <c r="L354" s="192"/>
      <c r="M354" s="192"/>
      <c r="N354" s="240"/>
      <c r="O354" s="391">
        <f t="shared" si="544"/>
        <v>0</v>
      </c>
      <c r="P354" s="192"/>
      <c r="Q354" s="192"/>
      <c r="R354" s="240"/>
      <c r="S354" s="191">
        <f t="shared" ref="S354:S360" si="596">T354+V354</f>
        <v>847200</v>
      </c>
      <c r="T354" s="227">
        <f t="shared" si="575"/>
        <v>847200</v>
      </c>
      <c r="U354" s="227">
        <f t="shared" ref="U354:U360" si="597">E354+I354+M354+Q354</f>
        <v>835800</v>
      </c>
      <c r="V354" s="240">
        <f t="shared" ref="V354:V360" si="598">F354+J354+N354+R354</f>
        <v>0</v>
      </c>
    </row>
    <row r="355" spans="1:23" x14ac:dyDescent="0.2">
      <c r="A355" s="330" t="s">
        <v>68</v>
      </c>
      <c r="B355" s="326" t="s">
        <v>491</v>
      </c>
      <c r="C355" s="191">
        <f t="shared" si="540"/>
        <v>0</v>
      </c>
      <c r="D355" s="192"/>
      <c r="E355" s="192"/>
      <c r="F355" s="240"/>
      <c r="G355" s="191">
        <f t="shared" si="542"/>
        <v>11900</v>
      </c>
      <c r="H355" s="192">
        <v>11900</v>
      </c>
      <c r="I355" s="192"/>
      <c r="J355" s="240"/>
      <c r="K355" s="191">
        <f t="shared" si="543"/>
        <v>0</v>
      </c>
      <c r="L355" s="192"/>
      <c r="M355" s="192"/>
      <c r="N355" s="240"/>
      <c r="O355" s="191">
        <f t="shared" si="544"/>
        <v>0</v>
      </c>
      <c r="P355" s="192"/>
      <c r="Q355" s="192"/>
      <c r="R355" s="240"/>
      <c r="S355" s="191">
        <f t="shared" si="596"/>
        <v>11900</v>
      </c>
      <c r="T355" s="227">
        <f t="shared" si="575"/>
        <v>11900</v>
      </c>
      <c r="U355" s="227">
        <f t="shared" si="597"/>
        <v>0</v>
      </c>
      <c r="V355" s="228">
        <f t="shared" si="598"/>
        <v>0</v>
      </c>
      <c r="W355" s="150"/>
    </row>
    <row r="356" spans="1:23" s="81" customFormat="1" ht="22.5" customHeight="1" x14ac:dyDescent="0.2">
      <c r="A356" s="330" t="s">
        <v>68</v>
      </c>
      <c r="B356" s="363" t="s">
        <v>556</v>
      </c>
      <c r="C356" s="191"/>
      <c r="D356" s="227"/>
      <c r="E356" s="227"/>
      <c r="F356" s="228"/>
      <c r="G356" s="191">
        <f t="shared" si="542"/>
        <v>1630</v>
      </c>
      <c r="H356" s="227">
        <v>1630</v>
      </c>
      <c r="I356" s="227">
        <v>1606</v>
      </c>
      <c r="J356" s="228"/>
      <c r="K356" s="191"/>
      <c r="L356" s="227"/>
      <c r="M356" s="227"/>
      <c r="N356" s="228"/>
      <c r="O356" s="191"/>
      <c r="P356" s="227"/>
      <c r="Q356" s="227"/>
      <c r="R356" s="228"/>
      <c r="S356" s="191">
        <f t="shared" si="596"/>
        <v>1630</v>
      </c>
      <c r="T356" s="227">
        <f t="shared" si="575"/>
        <v>1630</v>
      </c>
      <c r="U356" s="227">
        <f t="shared" si="597"/>
        <v>1606</v>
      </c>
      <c r="V356" s="228">
        <f t="shared" si="598"/>
        <v>0</v>
      </c>
      <c r="W356" s="241"/>
    </row>
    <row r="357" spans="1:23" ht="25.5" x14ac:dyDescent="0.2">
      <c r="A357" s="330" t="s">
        <v>68</v>
      </c>
      <c r="B357" s="326" t="s">
        <v>344</v>
      </c>
      <c r="C357" s="191">
        <f t="shared" si="540"/>
        <v>388900</v>
      </c>
      <c r="D357" s="192">
        <f>247100+131800+7000</f>
        <v>385900</v>
      </c>
      <c r="E357" s="192">
        <f>173200+130100</f>
        <v>303300</v>
      </c>
      <c r="F357" s="240">
        <v>3000</v>
      </c>
      <c r="G357" s="391">
        <f t="shared" si="542"/>
        <v>0</v>
      </c>
      <c r="H357" s="192"/>
      <c r="I357" s="192"/>
      <c r="J357" s="240"/>
      <c r="K357" s="191">
        <f t="shared" si="543"/>
        <v>0</v>
      </c>
      <c r="L357" s="192"/>
      <c r="M357" s="192"/>
      <c r="N357" s="240"/>
      <c r="O357" s="391">
        <f t="shared" si="544"/>
        <v>0</v>
      </c>
      <c r="P357" s="192"/>
      <c r="Q357" s="192"/>
      <c r="R357" s="240"/>
      <c r="S357" s="191">
        <f t="shared" si="596"/>
        <v>388900</v>
      </c>
      <c r="T357" s="227">
        <f t="shared" si="575"/>
        <v>385900</v>
      </c>
      <c r="U357" s="227">
        <f t="shared" si="597"/>
        <v>303300</v>
      </c>
      <c r="V357" s="228">
        <f t="shared" si="598"/>
        <v>3000</v>
      </c>
      <c r="W357" s="233"/>
    </row>
    <row r="358" spans="1:23" x14ac:dyDescent="0.2">
      <c r="A358" s="330" t="s">
        <v>68</v>
      </c>
      <c r="B358" s="326" t="s">
        <v>306</v>
      </c>
      <c r="C358" s="191">
        <f t="shared" si="540"/>
        <v>28700</v>
      </c>
      <c r="D358" s="192">
        <f>30700-2000</f>
        <v>28700</v>
      </c>
      <c r="E358" s="192"/>
      <c r="F358" s="240"/>
      <c r="G358" s="391">
        <f t="shared" si="542"/>
        <v>0</v>
      </c>
      <c r="H358" s="192"/>
      <c r="I358" s="192"/>
      <c r="J358" s="240"/>
      <c r="K358" s="191">
        <f t="shared" si="543"/>
        <v>0</v>
      </c>
      <c r="L358" s="192"/>
      <c r="M358" s="192"/>
      <c r="N358" s="240"/>
      <c r="O358" s="391">
        <f t="shared" si="544"/>
        <v>0</v>
      </c>
      <c r="P358" s="192"/>
      <c r="Q358" s="192"/>
      <c r="R358" s="240"/>
      <c r="S358" s="191">
        <f t="shared" si="596"/>
        <v>28700</v>
      </c>
      <c r="T358" s="227">
        <f t="shared" si="575"/>
        <v>28700</v>
      </c>
      <c r="U358" s="227">
        <f t="shared" si="597"/>
        <v>0</v>
      </c>
      <c r="V358" s="228">
        <f t="shared" si="598"/>
        <v>0</v>
      </c>
      <c r="W358" s="150"/>
    </row>
    <row r="359" spans="1:23" x14ac:dyDescent="0.2">
      <c r="A359" s="330" t="s">
        <v>68</v>
      </c>
      <c r="B359" s="326" t="s">
        <v>308</v>
      </c>
      <c r="C359" s="191"/>
      <c r="D359" s="192"/>
      <c r="E359" s="192"/>
      <c r="F359" s="240"/>
      <c r="G359" s="191"/>
      <c r="H359" s="192"/>
      <c r="I359" s="192"/>
      <c r="J359" s="240"/>
      <c r="K359" s="191">
        <f t="shared" si="543"/>
        <v>12700</v>
      </c>
      <c r="L359" s="192">
        <v>12400</v>
      </c>
      <c r="M359" s="192"/>
      <c r="N359" s="240">
        <v>300</v>
      </c>
      <c r="O359" s="191"/>
      <c r="P359" s="192"/>
      <c r="Q359" s="192"/>
      <c r="R359" s="240"/>
      <c r="S359" s="191">
        <f t="shared" si="596"/>
        <v>12700</v>
      </c>
      <c r="T359" s="227">
        <f t="shared" si="575"/>
        <v>12400</v>
      </c>
      <c r="U359" s="227">
        <f t="shared" si="597"/>
        <v>0</v>
      </c>
      <c r="V359" s="228">
        <f t="shared" si="598"/>
        <v>300</v>
      </c>
      <c r="W359" s="150"/>
    </row>
    <row r="360" spans="1:23" x14ac:dyDescent="0.2">
      <c r="A360" s="330" t="s">
        <v>68</v>
      </c>
      <c r="B360" s="326" t="s">
        <v>484</v>
      </c>
      <c r="C360" s="191">
        <f t="shared" ref="C360" si="599">D360+F360</f>
        <v>0</v>
      </c>
      <c r="D360" s="192"/>
      <c r="E360" s="192"/>
      <c r="F360" s="240"/>
      <c r="G360" s="191">
        <f t="shared" ref="G360" si="600">H360+J360</f>
        <v>0</v>
      </c>
      <c r="H360" s="192"/>
      <c r="I360" s="192"/>
      <c r="J360" s="240"/>
      <c r="K360" s="191">
        <f t="shared" ref="K360" si="601">L360+N360</f>
        <v>3208.35</v>
      </c>
      <c r="L360" s="192"/>
      <c r="M360" s="192"/>
      <c r="N360" s="240">
        <v>3208.35</v>
      </c>
      <c r="O360" s="191">
        <f t="shared" ref="O360" si="602">P360+R360</f>
        <v>0</v>
      </c>
      <c r="P360" s="192"/>
      <c r="Q360" s="192"/>
      <c r="R360" s="240"/>
      <c r="S360" s="191">
        <f t="shared" si="596"/>
        <v>3208.35</v>
      </c>
      <c r="T360" s="227">
        <f t="shared" si="575"/>
        <v>0</v>
      </c>
      <c r="U360" s="227">
        <f t="shared" si="597"/>
        <v>0</v>
      </c>
      <c r="V360" s="228">
        <f t="shared" si="598"/>
        <v>3208.35</v>
      </c>
      <c r="W360" s="150"/>
    </row>
    <row r="361" spans="1:23" ht="25.5" x14ac:dyDescent="0.2">
      <c r="A361" s="330"/>
      <c r="B361" s="355" t="s">
        <v>346</v>
      </c>
      <c r="C361" s="189">
        <f>D361+F361</f>
        <v>263500</v>
      </c>
      <c r="D361" s="190">
        <f>SUM(D362:D367)</f>
        <v>263500</v>
      </c>
      <c r="E361" s="190">
        <f>SUM(E362:E367)</f>
        <v>185700</v>
      </c>
      <c r="F361" s="251">
        <f>SUM(F362:F367)</f>
        <v>0</v>
      </c>
      <c r="G361" s="381">
        <f t="shared" si="542"/>
        <v>467620</v>
      </c>
      <c r="H361" s="190">
        <f>SUM(H362:H367)</f>
        <v>467620</v>
      </c>
      <c r="I361" s="190">
        <f>SUM(I362:I367)</f>
        <v>432388</v>
      </c>
      <c r="J361" s="190">
        <f>SUM(J362:J367)</f>
        <v>0</v>
      </c>
      <c r="K361" s="189">
        <f t="shared" si="543"/>
        <v>5100</v>
      </c>
      <c r="L361" s="190">
        <f>SUM(L362:L367)</f>
        <v>5100</v>
      </c>
      <c r="M361" s="190">
        <f>SUM(M362:M367)</f>
        <v>0</v>
      </c>
      <c r="N361" s="251">
        <f>SUM(N362:N367)</f>
        <v>0</v>
      </c>
      <c r="O361" s="381">
        <f t="shared" si="544"/>
        <v>0</v>
      </c>
      <c r="P361" s="190">
        <f>SUM(P362:P367)</f>
        <v>0</v>
      </c>
      <c r="Q361" s="190">
        <f>SUM(Q362:Q367)</f>
        <v>0</v>
      </c>
      <c r="R361" s="190">
        <f>SUM(R362:R367)</f>
        <v>0</v>
      </c>
      <c r="S361" s="189">
        <f t="shared" si="574"/>
        <v>736220</v>
      </c>
      <c r="T361" s="245">
        <f t="shared" si="575"/>
        <v>736220</v>
      </c>
      <c r="U361" s="245">
        <f>E361+I361+M361+Q361</f>
        <v>618088</v>
      </c>
      <c r="V361" s="377">
        <f>F361+J361+N361+R361</f>
        <v>0</v>
      </c>
    </row>
    <row r="362" spans="1:23" x14ac:dyDescent="0.2">
      <c r="A362" s="330" t="s">
        <v>68</v>
      </c>
      <c r="B362" s="326" t="s">
        <v>307</v>
      </c>
      <c r="C362" s="191">
        <f t="shared" si="540"/>
        <v>0</v>
      </c>
      <c r="D362" s="192"/>
      <c r="E362" s="192"/>
      <c r="F362" s="240"/>
      <c r="G362" s="391">
        <f t="shared" si="542"/>
        <v>461000</v>
      </c>
      <c r="H362" s="192">
        <v>461000</v>
      </c>
      <c r="I362" s="192">
        <f>429500+2100</f>
        <v>431600</v>
      </c>
      <c r="J362" s="253"/>
      <c r="K362" s="191">
        <f t="shared" si="543"/>
        <v>0</v>
      </c>
      <c r="L362" s="192"/>
      <c r="M362" s="192"/>
      <c r="N362" s="240"/>
      <c r="O362" s="391">
        <f t="shared" si="544"/>
        <v>0</v>
      </c>
      <c r="P362" s="192"/>
      <c r="Q362" s="192"/>
      <c r="R362" s="253"/>
      <c r="S362" s="191">
        <f t="shared" ref="S362:S367" si="603">T362+V362</f>
        <v>461000</v>
      </c>
      <c r="T362" s="227">
        <f t="shared" si="575"/>
        <v>461000</v>
      </c>
      <c r="U362" s="227">
        <f t="shared" ref="U362:U367" si="604">E362+I362+M362+Q362</f>
        <v>431600</v>
      </c>
      <c r="V362" s="240">
        <f t="shared" ref="V362:V367" si="605">F362+J362+N362+R362</f>
        <v>0</v>
      </c>
    </row>
    <row r="363" spans="1:23" x14ac:dyDescent="0.2">
      <c r="A363" s="330" t="s">
        <v>68</v>
      </c>
      <c r="B363" s="326" t="s">
        <v>491</v>
      </c>
      <c r="C363" s="191">
        <f t="shared" si="540"/>
        <v>0</v>
      </c>
      <c r="D363" s="192"/>
      <c r="E363" s="192"/>
      <c r="F363" s="240"/>
      <c r="G363" s="191">
        <f t="shared" si="542"/>
        <v>5820</v>
      </c>
      <c r="H363" s="192">
        <v>5820</v>
      </c>
      <c r="I363" s="192"/>
      <c r="J363" s="240"/>
      <c r="K363" s="191">
        <f t="shared" si="543"/>
        <v>0</v>
      </c>
      <c r="L363" s="192"/>
      <c r="M363" s="192"/>
      <c r="N363" s="240"/>
      <c r="O363" s="191">
        <f t="shared" si="544"/>
        <v>0</v>
      </c>
      <c r="P363" s="192"/>
      <c r="Q363" s="192"/>
      <c r="R363" s="240"/>
      <c r="S363" s="191">
        <f t="shared" si="603"/>
        <v>5820</v>
      </c>
      <c r="T363" s="227">
        <f t="shared" si="575"/>
        <v>5820</v>
      </c>
      <c r="U363" s="227">
        <f t="shared" si="604"/>
        <v>0</v>
      </c>
      <c r="V363" s="240">
        <f t="shared" si="605"/>
        <v>0</v>
      </c>
    </row>
    <row r="364" spans="1:23" s="81" customFormat="1" ht="22.5" customHeight="1" x14ac:dyDescent="0.2">
      <c r="A364" s="330" t="s">
        <v>68</v>
      </c>
      <c r="B364" s="363" t="s">
        <v>556</v>
      </c>
      <c r="C364" s="191"/>
      <c r="D364" s="227"/>
      <c r="E364" s="227"/>
      <c r="F364" s="228"/>
      <c r="G364" s="191">
        <f t="shared" si="542"/>
        <v>800</v>
      </c>
      <c r="H364" s="227">
        <v>800</v>
      </c>
      <c r="I364" s="227">
        <v>788</v>
      </c>
      <c r="J364" s="228"/>
      <c r="K364" s="191"/>
      <c r="L364" s="227"/>
      <c r="M364" s="227"/>
      <c r="N364" s="228"/>
      <c r="O364" s="191"/>
      <c r="P364" s="227"/>
      <c r="Q364" s="227"/>
      <c r="R364" s="228"/>
      <c r="S364" s="191">
        <f t="shared" si="603"/>
        <v>800</v>
      </c>
      <c r="T364" s="227">
        <f t="shared" si="575"/>
        <v>800</v>
      </c>
      <c r="U364" s="227">
        <f t="shared" si="604"/>
        <v>788</v>
      </c>
      <c r="V364" s="228">
        <f t="shared" si="605"/>
        <v>0</v>
      </c>
      <c r="W364" s="241"/>
    </row>
    <row r="365" spans="1:23" ht="25.5" x14ac:dyDescent="0.2">
      <c r="A365" s="330" t="s">
        <v>68</v>
      </c>
      <c r="B365" s="326" t="s">
        <v>344</v>
      </c>
      <c r="C365" s="191">
        <f t="shared" si="540"/>
        <v>256400</v>
      </c>
      <c r="D365" s="192">
        <f>216700+39700</f>
        <v>256400</v>
      </c>
      <c r="E365" s="192">
        <f>146500+39200</f>
        <v>185700</v>
      </c>
      <c r="F365" s="240"/>
      <c r="G365" s="191">
        <f t="shared" si="542"/>
        <v>0</v>
      </c>
      <c r="H365" s="192"/>
      <c r="I365" s="192"/>
      <c r="J365" s="253"/>
      <c r="K365" s="191">
        <f t="shared" si="543"/>
        <v>0</v>
      </c>
      <c r="L365" s="192"/>
      <c r="M365" s="192"/>
      <c r="N365" s="240"/>
      <c r="O365" s="391">
        <f t="shared" si="544"/>
        <v>0</v>
      </c>
      <c r="P365" s="192"/>
      <c r="Q365" s="192"/>
      <c r="R365" s="253"/>
      <c r="S365" s="191">
        <f t="shared" si="603"/>
        <v>256400</v>
      </c>
      <c r="T365" s="227">
        <f t="shared" si="575"/>
        <v>256400</v>
      </c>
      <c r="U365" s="227">
        <f t="shared" si="604"/>
        <v>185700</v>
      </c>
      <c r="V365" s="228">
        <f t="shared" si="605"/>
        <v>0</v>
      </c>
      <c r="W365" s="150"/>
    </row>
    <row r="366" spans="1:23" x14ac:dyDescent="0.2">
      <c r="A366" s="330" t="s">
        <v>68</v>
      </c>
      <c r="B366" s="326" t="s">
        <v>306</v>
      </c>
      <c r="C366" s="191">
        <f t="shared" si="540"/>
        <v>7100</v>
      </c>
      <c r="D366" s="192">
        <v>7100</v>
      </c>
      <c r="E366" s="192"/>
      <c r="F366" s="240"/>
      <c r="G366" s="191">
        <f t="shared" si="542"/>
        <v>0</v>
      </c>
      <c r="H366" s="192"/>
      <c r="I366" s="192"/>
      <c r="J366" s="253"/>
      <c r="K366" s="191">
        <f t="shared" si="543"/>
        <v>0</v>
      </c>
      <c r="L366" s="192"/>
      <c r="M366" s="192"/>
      <c r="N366" s="240"/>
      <c r="O366" s="191">
        <f t="shared" si="544"/>
        <v>0</v>
      </c>
      <c r="P366" s="192"/>
      <c r="Q366" s="192"/>
      <c r="R366" s="253"/>
      <c r="S366" s="191">
        <f t="shared" si="603"/>
        <v>7100</v>
      </c>
      <c r="T366" s="227">
        <f t="shared" si="575"/>
        <v>7100</v>
      </c>
      <c r="U366" s="227">
        <f t="shared" si="604"/>
        <v>0</v>
      </c>
      <c r="V366" s="228">
        <f t="shared" si="605"/>
        <v>0</v>
      </c>
      <c r="W366" s="150"/>
    </row>
    <row r="367" spans="1:23" x14ac:dyDescent="0.2">
      <c r="A367" s="330" t="s">
        <v>68</v>
      </c>
      <c r="B367" s="326" t="s">
        <v>308</v>
      </c>
      <c r="C367" s="191">
        <f t="shared" si="540"/>
        <v>0</v>
      </c>
      <c r="D367" s="192"/>
      <c r="E367" s="192"/>
      <c r="F367" s="240"/>
      <c r="G367" s="191">
        <f t="shared" si="542"/>
        <v>0</v>
      </c>
      <c r="H367" s="192"/>
      <c r="I367" s="192"/>
      <c r="J367" s="253"/>
      <c r="K367" s="191">
        <f t="shared" si="543"/>
        <v>5100</v>
      </c>
      <c r="L367" s="192">
        <v>5100</v>
      </c>
      <c r="M367" s="192"/>
      <c r="N367" s="240"/>
      <c r="O367" s="191">
        <f t="shared" si="544"/>
        <v>0</v>
      </c>
      <c r="P367" s="192"/>
      <c r="Q367" s="192"/>
      <c r="R367" s="253"/>
      <c r="S367" s="191">
        <f t="shared" si="603"/>
        <v>5100</v>
      </c>
      <c r="T367" s="227">
        <f t="shared" si="575"/>
        <v>5100</v>
      </c>
      <c r="U367" s="227">
        <f t="shared" si="604"/>
        <v>0</v>
      </c>
      <c r="V367" s="228">
        <f t="shared" si="605"/>
        <v>0</v>
      </c>
      <c r="W367" s="150"/>
    </row>
    <row r="368" spans="1:23" ht="25.5" x14ac:dyDescent="0.2">
      <c r="A368" s="329"/>
      <c r="B368" s="355" t="s">
        <v>357</v>
      </c>
      <c r="C368" s="189">
        <f t="shared" si="540"/>
        <v>300300</v>
      </c>
      <c r="D368" s="190">
        <f>SUM(D369:D374)</f>
        <v>285300</v>
      </c>
      <c r="E368" s="190">
        <f>SUM(E369:E374)</f>
        <v>193700</v>
      </c>
      <c r="F368" s="190">
        <f>SUM(F369:F374)</f>
        <v>15000</v>
      </c>
      <c r="G368" s="189">
        <f t="shared" si="542"/>
        <v>553140</v>
      </c>
      <c r="H368" s="190">
        <f>SUM(H369:H374)</f>
        <v>553140</v>
      </c>
      <c r="I368" s="190">
        <f>SUM(I369:I374)</f>
        <v>525826</v>
      </c>
      <c r="J368" s="190">
        <f>SUM(J369:J374)</f>
        <v>0</v>
      </c>
      <c r="K368" s="189">
        <f t="shared" si="543"/>
        <v>13000</v>
      </c>
      <c r="L368" s="190">
        <f>SUM(L369:L374)</f>
        <v>13000</v>
      </c>
      <c r="M368" s="190">
        <f>SUM(M369:M374)</f>
        <v>0</v>
      </c>
      <c r="N368" s="190">
        <f>SUM(N369:N374)</f>
        <v>0</v>
      </c>
      <c r="O368" s="189">
        <f t="shared" si="544"/>
        <v>0</v>
      </c>
      <c r="P368" s="190">
        <f>SUM(P369:P374)</f>
        <v>0</v>
      </c>
      <c r="Q368" s="190">
        <f>SUM(Q369:Q374)</f>
        <v>0</v>
      </c>
      <c r="R368" s="190">
        <f>SUM(R369:R374)</f>
        <v>0</v>
      </c>
      <c r="S368" s="189">
        <f t="shared" si="574"/>
        <v>866440</v>
      </c>
      <c r="T368" s="190">
        <f>SUM(T369:T374)</f>
        <v>851440</v>
      </c>
      <c r="U368" s="190">
        <f>SUM(U369:U374)</f>
        <v>719526</v>
      </c>
      <c r="V368" s="251">
        <f>SUM(V369:V374)</f>
        <v>15000</v>
      </c>
    </row>
    <row r="369" spans="1:23" x14ac:dyDescent="0.2">
      <c r="A369" s="330" t="s">
        <v>68</v>
      </c>
      <c r="B369" s="326" t="s">
        <v>307</v>
      </c>
      <c r="C369" s="191">
        <f t="shared" si="540"/>
        <v>0</v>
      </c>
      <c r="D369" s="192"/>
      <c r="E369" s="192"/>
      <c r="F369" s="240"/>
      <c r="G369" s="191">
        <f t="shared" si="542"/>
        <v>545300</v>
      </c>
      <c r="H369" s="192">
        <v>545300</v>
      </c>
      <c r="I369" s="192">
        <f>520000+4900</f>
        <v>524900</v>
      </c>
      <c r="J369" s="240"/>
      <c r="K369" s="191">
        <f t="shared" si="543"/>
        <v>0</v>
      </c>
      <c r="L369" s="192"/>
      <c r="M369" s="192"/>
      <c r="N369" s="240"/>
      <c r="O369" s="191">
        <f t="shared" si="544"/>
        <v>0</v>
      </c>
      <c r="P369" s="192"/>
      <c r="Q369" s="192"/>
      <c r="R369" s="240"/>
      <c r="S369" s="191">
        <f t="shared" ref="S369:S374" si="606">T369+V369</f>
        <v>545300</v>
      </c>
      <c r="T369" s="227">
        <f>D369+H369+L369+P369</f>
        <v>545300</v>
      </c>
      <c r="U369" s="227">
        <f t="shared" ref="U369:U374" si="607">E369+I369+M369+Q369</f>
        <v>524900</v>
      </c>
      <c r="V369" s="228">
        <f t="shared" ref="V369:V374" si="608">F369+J369+N369+R369</f>
        <v>0</v>
      </c>
      <c r="W369" s="150"/>
    </row>
    <row r="370" spans="1:23" x14ac:dyDescent="0.2">
      <c r="A370" s="330" t="s">
        <v>68</v>
      </c>
      <c r="B370" s="326" t="s">
        <v>491</v>
      </c>
      <c r="C370" s="191">
        <f t="shared" si="540"/>
        <v>0</v>
      </c>
      <c r="D370" s="192"/>
      <c r="E370" s="192"/>
      <c r="F370" s="240"/>
      <c r="G370" s="191">
        <f t="shared" si="542"/>
        <v>6900</v>
      </c>
      <c r="H370" s="192">
        <v>6900</v>
      </c>
      <c r="I370" s="192"/>
      <c r="J370" s="240"/>
      <c r="K370" s="191">
        <f t="shared" si="543"/>
        <v>0</v>
      </c>
      <c r="L370" s="192"/>
      <c r="M370" s="192"/>
      <c r="N370" s="240"/>
      <c r="O370" s="191">
        <f t="shared" si="544"/>
        <v>0</v>
      </c>
      <c r="P370" s="192"/>
      <c r="Q370" s="192"/>
      <c r="R370" s="240"/>
      <c r="S370" s="191">
        <f t="shared" si="606"/>
        <v>6900</v>
      </c>
      <c r="T370" s="227">
        <f>D370+H370+L370+P370</f>
        <v>6900</v>
      </c>
      <c r="U370" s="227">
        <f t="shared" si="607"/>
        <v>0</v>
      </c>
      <c r="V370" s="240">
        <f t="shared" si="608"/>
        <v>0</v>
      </c>
    </row>
    <row r="371" spans="1:23" s="81" customFormat="1" ht="22.5" customHeight="1" x14ac:dyDescent="0.2">
      <c r="A371" s="330" t="s">
        <v>68</v>
      </c>
      <c r="B371" s="363" t="s">
        <v>556</v>
      </c>
      <c r="C371" s="191"/>
      <c r="D371" s="227"/>
      <c r="E371" s="227"/>
      <c r="F371" s="228"/>
      <c r="G371" s="191">
        <f t="shared" si="542"/>
        <v>940</v>
      </c>
      <c r="H371" s="227">
        <v>940</v>
      </c>
      <c r="I371" s="227">
        <v>926</v>
      </c>
      <c r="J371" s="228"/>
      <c r="K371" s="191"/>
      <c r="L371" s="227"/>
      <c r="M371" s="227"/>
      <c r="N371" s="228"/>
      <c r="O371" s="191"/>
      <c r="P371" s="227"/>
      <c r="Q371" s="227"/>
      <c r="R371" s="228"/>
      <c r="S371" s="191">
        <f t="shared" si="606"/>
        <v>940</v>
      </c>
      <c r="T371" s="227">
        <f t="shared" ref="T371" si="609">D371+H371+L371+P371</f>
        <v>940</v>
      </c>
      <c r="U371" s="227">
        <f t="shared" si="607"/>
        <v>926</v>
      </c>
      <c r="V371" s="228">
        <f t="shared" si="608"/>
        <v>0</v>
      </c>
      <c r="W371" s="241"/>
    </row>
    <row r="372" spans="1:23" ht="25.5" x14ac:dyDescent="0.2">
      <c r="A372" s="330" t="s">
        <v>68</v>
      </c>
      <c r="B372" s="326" t="s">
        <v>344</v>
      </c>
      <c r="C372" s="191">
        <f t="shared" si="540"/>
        <v>289100</v>
      </c>
      <c r="D372" s="192">
        <f>217100+57000</f>
        <v>274100</v>
      </c>
      <c r="E372" s="192">
        <f>138000+55700</f>
        <v>193700</v>
      </c>
      <c r="F372" s="240">
        <v>15000</v>
      </c>
      <c r="G372" s="191">
        <f t="shared" si="542"/>
        <v>0</v>
      </c>
      <c r="H372" s="192"/>
      <c r="I372" s="192"/>
      <c r="J372" s="240"/>
      <c r="K372" s="191">
        <f t="shared" si="543"/>
        <v>0</v>
      </c>
      <c r="L372" s="192"/>
      <c r="M372" s="192"/>
      <c r="N372" s="240"/>
      <c r="O372" s="191">
        <f t="shared" si="544"/>
        <v>0</v>
      </c>
      <c r="P372" s="192"/>
      <c r="Q372" s="192"/>
      <c r="R372" s="240"/>
      <c r="S372" s="191">
        <f t="shared" si="606"/>
        <v>289100</v>
      </c>
      <c r="T372" s="227">
        <f>D372+H372+L372+P372</f>
        <v>274100</v>
      </c>
      <c r="U372" s="227">
        <f t="shared" si="607"/>
        <v>193700</v>
      </c>
      <c r="V372" s="228">
        <f t="shared" si="608"/>
        <v>15000</v>
      </c>
      <c r="W372" s="233"/>
    </row>
    <row r="373" spans="1:23" x14ac:dyDescent="0.2">
      <c r="A373" s="330" t="s">
        <v>68</v>
      </c>
      <c r="B373" s="326" t="s">
        <v>306</v>
      </c>
      <c r="C373" s="191">
        <f t="shared" si="540"/>
        <v>11200</v>
      </c>
      <c r="D373" s="192">
        <f>12200-1000</f>
        <v>11200</v>
      </c>
      <c r="E373" s="192"/>
      <c r="F373" s="240"/>
      <c r="G373" s="191">
        <f t="shared" si="542"/>
        <v>0</v>
      </c>
      <c r="H373" s="192"/>
      <c r="I373" s="192"/>
      <c r="J373" s="240"/>
      <c r="K373" s="191">
        <f t="shared" si="543"/>
        <v>0</v>
      </c>
      <c r="L373" s="192"/>
      <c r="M373" s="192"/>
      <c r="N373" s="240"/>
      <c r="O373" s="191">
        <f t="shared" si="544"/>
        <v>0</v>
      </c>
      <c r="P373" s="192"/>
      <c r="Q373" s="192"/>
      <c r="R373" s="240"/>
      <c r="S373" s="191">
        <f t="shared" si="606"/>
        <v>11200</v>
      </c>
      <c r="T373" s="227">
        <f>D373+H373+L373+P373</f>
        <v>11200</v>
      </c>
      <c r="U373" s="227">
        <f t="shared" si="607"/>
        <v>0</v>
      </c>
      <c r="V373" s="228">
        <f t="shared" si="608"/>
        <v>0</v>
      </c>
      <c r="W373" s="150"/>
    </row>
    <row r="374" spans="1:23" x14ac:dyDescent="0.2">
      <c r="A374" s="330" t="s">
        <v>68</v>
      </c>
      <c r="B374" s="326" t="s">
        <v>308</v>
      </c>
      <c r="C374" s="191">
        <f t="shared" si="540"/>
        <v>0</v>
      </c>
      <c r="D374" s="192"/>
      <c r="E374" s="192"/>
      <c r="F374" s="240"/>
      <c r="G374" s="191">
        <f t="shared" si="542"/>
        <v>0</v>
      </c>
      <c r="H374" s="192"/>
      <c r="I374" s="192"/>
      <c r="J374" s="240"/>
      <c r="K374" s="191">
        <f t="shared" si="543"/>
        <v>13000</v>
      </c>
      <c r="L374" s="192">
        <v>13000</v>
      </c>
      <c r="M374" s="192"/>
      <c r="N374" s="240"/>
      <c r="O374" s="191">
        <f t="shared" si="544"/>
        <v>0</v>
      </c>
      <c r="P374" s="192"/>
      <c r="Q374" s="192"/>
      <c r="R374" s="240"/>
      <c r="S374" s="191">
        <f t="shared" si="606"/>
        <v>13000</v>
      </c>
      <c r="T374" s="227">
        <f>D374+H374+L374+P374</f>
        <v>13000</v>
      </c>
      <c r="U374" s="227">
        <f t="shared" si="607"/>
        <v>0</v>
      </c>
      <c r="V374" s="228">
        <f t="shared" si="608"/>
        <v>0</v>
      </c>
      <c r="W374" s="150"/>
    </row>
    <row r="375" spans="1:23" x14ac:dyDescent="0.2">
      <c r="A375" s="330"/>
      <c r="B375" s="355" t="s">
        <v>369</v>
      </c>
      <c r="C375" s="189">
        <f t="shared" si="540"/>
        <v>167700</v>
      </c>
      <c r="D375" s="190">
        <f>SUM(D376:D383)</f>
        <v>167700</v>
      </c>
      <c r="E375" s="190">
        <f>SUM(E376:E383)</f>
        <v>83100</v>
      </c>
      <c r="F375" s="190">
        <f>SUM(F376:F383)</f>
        <v>0</v>
      </c>
      <c r="G375" s="189">
        <f t="shared" si="542"/>
        <v>438370</v>
      </c>
      <c r="H375" s="190">
        <f>SUM(H376:H383)</f>
        <v>438370</v>
      </c>
      <c r="I375" s="190">
        <f>SUM(I376:I383)</f>
        <v>422252</v>
      </c>
      <c r="J375" s="190">
        <f>SUM(J376:J383)</f>
        <v>0</v>
      </c>
      <c r="K375" s="189">
        <f t="shared" si="543"/>
        <v>5641.01</v>
      </c>
      <c r="L375" s="190">
        <f>SUM(L376:L383)</f>
        <v>5641.01</v>
      </c>
      <c r="M375" s="190">
        <f>SUM(M376:M383)</f>
        <v>0</v>
      </c>
      <c r="N375" s="190">
        <f>SUM(N376:N383)</f>
        <v>0</v>
      </c>
      <c r="O375" s="189">
        <f t="shared" si="544"/>
        <v>0</v>
      </c>
      <c r="P375" s="190">
        <f>SUM(P376:P383)</f>
        <v>0</v>
      </c>
      <c r="Q375" s="190">
        <f>SUM(Q376:Q383)</f>
        <v>0</v>
      </c>
      <c r="R375" s="190">
        <f>SUM(R376:R383)</f>
        <v>0</v>
      </c>
      <c r="S375" s="189">
        <f t="shared" si="574"/>
        <v>611711.01</v>
      </c>
      <c r="T375" s="190">
        <f>SUM(T376:T383)</f>
        <v>611711.01</v>
      </c>
      <c r="U375" s="190">
        <f>SUM(U376:U383)</f>
        <v>505352</v>
      </c>
      <c r="V375" s="251">
        <f>SUM(V376:V383)</f>
        <v>0</v>
      </c>
    </row>
    <row r="376" spans="1:23" x14ac:dyDescent="0.2">
      <c r="A376" s="330" t="s">
        <v>68</v>
      </c>
      <c r="B376" s="326" t="s">
        <v>307</v>
      </c>
      <c r="C376" s="191">
        <f t="shared" si="540"/>
        <v>0</v>
      </c>
      <c r="D376" s="192"/>
      <c r="E376" s="192"/>
      <c r="F376" s="240"/>
      <c r="G376" s="191">
        <f t="shared" si="542"/>
        <v>433700</v>
      </c>
      <c r="H376" s="192">
        <v>433700</v>
      </c>
      <c r="I376" s="192">
        <v>421700</v>
      </c>
      <c r="J376" s="240"/>
      <c r="K376" s="191">
        <f t="shared" si="543"/>
        <v>0</v>
      </c>
      <c r="L376" s="192"/>
      <c r="M376" s="192"/>
      <c r="N376" s="240"/>
      <c r="O376" s="191">
        <f t="shared" si="544"/>
        <v>0</v>
      </c>
      <c r="P376" s="192"/>
      <c r="Q376" s="192"/>
      <c r="R376" s="240"/>
      <c r="S376" s="191">
        <f t="shared" ref="S376:S382" si="610">T376+V376</f>
        <v>433700</v>
      </c>
      <c r="T376" s="227">
        <f>D376+H376+L376+P376</f>
        <v>433700</v>
      </c>
      <c r="U376" s="227">
        <f t="shared" ref="U376:U381" si="611">E376+I376+M376+Q376</f>
        <v>421700</v>
      </c>
      <c r="V376" s="228">
        <f t="shared" ref="V376:V381" si="612">F376+J376+N376+R376</f>
        <v>0</v>
      </c>
      <c r="W376" s="150"/>
    </row>
    <row r="377" spans="1:23" x14ac:dyDescent="0.2">
      <c r="A377" s="330" t="s">
        <v>68</v>
      </c>
      <c r="B377" s="326" t="s">
        <v>491</v>
      </c>
      <c r="C377" s="191">
        <f t="shared" si="540"/>
        <v>0</v>
      </c>
      <c r="D377" s="192"/>
      <c r="E377" s="192"/>
      <c r="F377" s="240"/>
      <c r="G377" s="191">
        <f t="shared" si="542"/>
        <v>4110</v>
      </c>
      <c r="H377" s="192">
        <v>4110</v>
      </c>
      <c r="I377" s="192"/>
      <c r="J377" s="240"/>
      <c r="K377" s="191">
        <f t="shared" si="543"/>
        <v>0</v>
      </c>
      <c r="L377" s="192"/>
      <c r="M377" s="192"/>
      <c r="N377" s="240"/>
      <c r="O377" s="191">
        <f t="shared" si="544"/>
        <v>0</v>
      </c>
      <c r="P377" s="192"/>
      <c r="Q377" s="192"/>
      <c r="R377" s="240"/>
      <c r="S377" s="191">
        <f t="shared" si="610"/>
        <v>4110</v>
      </c>
      <c r="T377" s="227">
        <f>D377+H377+L377+P377</f>
        <v>4110</v>
      </c>
      <c r="U377" s="227">
        <f t="shared" si="611"/>
        <v>0</v>
      </c>
      <c r="V377" s="228">
        <f t="shared" si="612"/>
        <v>0</v>
      </c>
      <c r="W377" s="150"/>
    </row>
    <row r="378" spans="1:23" s="81" customFormat="1" ht="22.5" customHeight="1" x14ac:dyDescent="0.2">
      <c r="A378" s="330" t="s">
        <v>68</v>
      </c>
      <c r="B378" s="363" t="s">
        <v>556</v>
      </c>
      <c r="C378" s="191"/>
      <c r="D378" s="227"/>
      <c r="E378" s="227"/>
      <c r="F378" s="228"/>
      <c r="G378" s="191">
        <f t="shared" si="542"/>
        <v>560</v>
      </c>
      <c r="H378" s="227">
        <v>560</v>
      </c>
      <c r="I378" s="227">
        <v>552</v>
      </c>
      <c r="J378" s="228"/>
      <c r="K378" s="191"/>
      <c r="L378" s="227"/>
      <c r="M378" s="227"/>
      <c r="N378" s="228"/>
      <c r="O378" s="191"/>
      <c r="P378" s="227"/>
      <c r="Q378" s="227"/>
      <c r="R378" s="228"/>
      <c r="S378" s="191">
        <f t="shared" si="610"/>
        <v>560</v>
      </c>
      <c r="T378" s="227">
        <f t="shared" ref="T378:T379" si="613">D378+H378+L378+P378</f>
        <v>560</v>
      </c>
      <c r="U378" s="227">
        <f t="shared" si="611"/>
        <v>552</v>
      </c>
      <c r="V378" s="228">
        <f t="shared" si="612"/>
        <v>0</v>
      </c>
      <c r="W378" s="241"/>
    </row>
    <row r="379" spans="1:23" ht="25.5" x14ac:dyDescent="0.2">
      <c r="A379" s="330" t="s">
        <v>68</v>
      </c>
      <c r="B379" s="326" t="s">
        <v>575</v>
      </c>
      <c r="C379" s="191">
        <f t="shared" ref="C379" si="614">D379+F379</f>
        <v>2500</v>
      </c>
      <c r="D379" s="192">
        <v>2500</v>
      </c>
      <c r="E379" s="192">
        <v>2400</v>
      </c>
      <c r="F379" s="240"/>
      <c r="G379" s="191">
        <f t="shared" si="542"/>
        <v>0</v>
      </c>
      <c r="H379" s="192"/>
      <c r="I379" s="192"/>
      <c r="J379" s="240"/>
      <c r="K379" s="191">
        <f t="shared" ref="K379" si="615">L379+N379</f>
        <v>0</v>
      </c>
      <c r="L379" s="192"/>
      <c r="M379" s="192"/>
      <c r="N379" s="240"/>
      <c r="O379" s="191">
        <f t="shared" ref="O379" si="616">P379+R379</f>
        <v>0</v>
      </c>
      <c r="P379" s="192"/>
      <c r="Q379" s="192"/>
      <c r="R379" s="240"/>
      <c r="S379" s="191">
        <f t="shared" si="610"/>
        <v>2500</v>
      </c>
      <c r="T379" s="227">
        <f t="shared" si="613"/>
        <v>2500</v>
      </c>
      <c r="U379" s="227">
        <f t="shared" si="611"/>
        <v>2400</v>
      </c>
      <c r="V379" s="228">
        <f t="shared" si="612"/>
        <v>0</v>
      </c>
      <c r="W379" s="150"/>
    </row>
    <row r="380" spans="1:23" ht="25.5" x14ac:dyDescent="0.2">
      <c r="A380" s="330" t="s">
        <v>68</v>
      </c>
      <c r="B380" s="326" t="s">
        <v>344</v>
      </c>
      <c r="C380" s="191">
        <f t="shared" si="540"/>
        <v>130000</v>
      </c>
      <c r="D380" s="192">
        <v>130000</v>
      </c>
      <c r="E380" s="192">
        <v>80700</v>
      </c>
      <c r="F380" s="240"/>
      <c r="G380" s="191">
        <f t="shared" si="542"/>
        <v>0</v>
      </c>
      <c r="H380" s="192"/>
      <c r="I380" s="192"/>
      <c r="J380" s="240"/>
      <c r="K380" s="191">
        <f t="shared" si="543"/>
        <v>0</v>
      </c>
      <c r="L380" s="192"/>
      <c r="M380" s="192"/>
      <c r="N380" s="240"/>
      <c r="O380" s="191">
        <f t="shared" si="544"/>
        <v>0</v>
      </c>
      <c r="P380" s="192"/>
      <c r="Q380" s="192"/>
      <c r="R380" s="240"/>
      <c r="S380" s="191">
        <f t="shared" si="610"/>
        <v>130000</v>
      </c>
      <c r="T380" s="227">
        <f>D380+H380+L380+P380</f>
        <v>130000</v>
      </c>
      <c r="U380" s="227">
        <f t="shared" si="611"/>
        <v>80700</v>
      </c>
      <c r="V380" s="240">
        <f t="shared" si="612"/>
        <v>0</v>
      </c>
    </row>
    <row r="381" spans="1:23" x14ac:dyDescent="0.2">
      <c r="A381" s="330" t="s">
        <v>68</v>
      </c>
      <c r="B381" s="326" t="s">
        <v>306</v>
      </c>
      <c r="C381" s="191">
        <f t="shared" si="540"/>
        <v>35200</v>
      </c>
      <c r="D381" s="192">
        <f>38200-3000</f>
        <v>35200</v>
      </c>
      <c r="E381" s="192"/>
      <c r="F381" s="240"/>
      <c r="G381" s="191">
        <f t="shared" si="542"/>
        <v>0</v>
      </c>
      <c r="H381" s="192"/>
      <c r="I381" s="192"/>
      <c r="J381" s="240"/>
      <c r="K381" s="191">
        <f t="shared" si="543"/>
        <v>0</v>
      </c>
      <c r="L381" s="192"/>
      <c r="M381" s="192"/>
      <c r="N381" s="240"/>
      <c r="O381" s="191">
        <f t="shared" si="544"/>
        <v>0</v>
      </c>
      <c r="P381" s="192"/>
      <c r="Q381" s="192"/>
      <c r="R381" s="240"/>
      <c r="S381" s="191">
        <f t="shared" si="610"/>
        <v>35200</v>
      </c>
      <c r="T381" s="227">
        <f>D381+H381+L381+P381</f>
        <v>35200</v>
      </c>
      <c r="U381" s="227">
        <f t="shared" si="611"/>
        <v>0</v>
      </c>
      <c r="V381" s="228">
        <f t="shared" si="612"/>
        <v>0</v>
      </c>
      <c r="W381" s="150"/>
    </row>
    <row r="382" spans="1:23" x14ac:dyDescent="0.2">
      <c r="A382" s="330" t="s">
        <v>68</v>
      </c>
      <c r="B382" s="326" t="s">
        <v>308</v>
      </c>
      <c r="C382" s="191"/>
      <c r="D382" s="192"/>
      <c r="E382" s="192"/>
      <c r="F382" s="240"/>
      <c r="G382" s="191"/>
      <c r="H382" s="192"/>
      <c r="I382" s="192"/>
      <c r="J382" s="240"/>
      <c r="K382" s="191">
        <f t="shared" si="543"/>
        <v>3000</v>
      </c>
      <c r="L382" s="192">
        <v>3000</v>
      </c>
      <c r="M382" s="192"/>
      <c r="N382" s="240"/>
      <c r="O382" s="191"/>
      <c r="P382" s="192"/>
      <c r="Q382" s="192"/>
      <c r="R382" s="240"/>
      <c r="S382" s="191">
        <f t="shared" si="610"/>
        <v>3000</v>
      </c>
      <c r="T382" s="227">
        <f>D382+H382+L382+P382</f>
        <v>3000</v>
      </c>
      <c r="U382" s="227"/>
      <c r="V382" s="228"/>
    </row>
    <row r="383" spans="1:23" x14ac:dyDescent="0.2">
      <c r="A383" s="330" t="s">
        <v>68</v>
      </c>
      <c r="B383" s="326" t="s">
        <v>484</v>
      </c>
      <c r="C383" s="191">
        <f t="shared" ref="C383" si="617">D383+F383</f>
        <v>0</v>
      </c>
      <c r="D383" s="192"/>
      <c r="E383" s="192"/>
      <c r="F383" s="240"/>
      <c r="G383" s="191">
        <f t="shared" ref="G383" si="618">H383+J383</f>
        <v>0</v>
      </c>
      <c r="H383" s="192"/>
      <c r="I383" s="192"/>
      <c r="J383" s="240"/>
      <c r="K383" s="191">
        <f t="shared" ref="K383" si="619">L383+N383</f>
        <v>2641.01</v>
      </c>
      <c r="L383" s="192">
        <v>2641.01</v>
      </c>
      <c r="M383" s="192"/>
      <c r="N383" s="240"/>
      <c r="O383" s="191">
        <f t="shared" ref="O383" si="620">P383+R383</f>
        <v>0</v>
      </c>
      <c r="P383" s="192"/>
      <c r="Q383" s="192"/>
      <c r="R383" s="240"/>
      <c r="S383" s="191">
        <f t="shared" ref="S383" si="621">T383+V383</f>
        <v>2641.01</v>
      </c>
      <c r="T383" s="227">
        <f>D383+H383+L383+P383</f>
        <v>2641.01</v>
      </c>
      <c r="U383" s="227">
        <f t="shared" ref="U383" si="622">E383+I383+M383+Q383</f>
        <v>0</v>
      </c>
      <c r="V383" s="240">
        <f t="shared" ref="V383" si="623">F383+J383+N383+R383</f>
        <v>0</v>
      </c>
    </row>
    <row r="384" spans="1:23" ht="25.5" x14ac:dyDescent="0.2">
      <c r="A384" s="329"/>
      <c r="B384" s="355" t="s">
        <v>375</v>
      </c>
      <c r="C384" s="189">
        <f t="shared" si="540"/>
        <v>124400</v>
      </c>
      <c r="D384" s="190">
        <f>SUM(D385:D390)</f>
        <v>124400</v>
      </c>
      <c r="E384" s="190">
        <f>SUM(E385:E390)</f>
        <v>62800</v>
      </c>
      <c r="F384" s="190">
        <f>SUM(F385:F390)</f>
        <v>0</v>
      </c>
      <c r="G384" s="189">
        <f t="shared" si="542"/>
        <v>254220</v>
      </c>
      <c r="H384" s="190">
        <f>SUM(H385:H390)</f>
        <v>254220</v>
      </c>
      <c r="I384" s="190">
        <f>SUM(I385:I390)</f>
        <v>245626</v>
      </c>
      <c r="J384" s="190">
        <f>SUM(J385:J390)</f>
        <v>0</v>
      </c>
      <c r="K384" s="189">
        <f t="shared" si="543"/>
        <v>3700</v>
      </c>
      <c r="L384" s="190">
        <f>SUM(L385:L390)</f>
        <v>3700</v>
      </c>
      <c r="M384" s="190">
        <f>SUM(M385:M390)</f>
        <v>0</v>
      </c>
      <c r="N384" s="190">
        <f>SUM(N385:N390)</f>
        <v>0</v>
      </c>
      <c r="O384" s="189">
        <f t="shared" si="544"/>
        <v>0</v>
      </c>
      <c r="P384" s="190">
        <f>SUM(P385:P390)</f>
        <v>0</v>
      </c>
      <c r="Q384" s="190">
        <f>SUM(Q385:Q390)</f>
        <v>0</v>
      </c>
      <c r="R384" s="190">
        <f>SUM(R385:R390)</f>
        <v>0</v>
      </c>
      <c r="S384" s="189">
        <f t="shared" si="574"/>
        <v>382320</v>
      </c>
      <c r="T384" s="190">
        <f>SUM(T385:T390)</f>
        <v>382320</v>
      </c>
      <c r="U384" s="190">
        <f>SUM(U385:U390)</f>
        <v>308426</v>
      </c>
      <c r="V384" s="251">
        <f>SUM(V385:V390)</f>
        <v>0</v>
      </c>
    </row>
    <row r="385" spans="1:23" x14ac:dyDescent="0.2">
      <c r="A385" s="330" t="s">
        <v>68</v>
      </c>
      <c r="B385" s="326" t="s">
        <v>307</v>
      </c>
      <c r="C385" s="191">
        <f t="shared" si="540"/>
        <v>0</v>
      </c>
      <c r="D385" s="192"/>
      <c r="E385" s="192"/>
      <c r="F385" s="240"/>
      <c r="G385" s="191">
        <f t="shared" si="542"/>
        <v>252400</v>
      </c>
      <c r="H385" s="192">
        <v>252400</v>
      </c>
      <c r="I385" s="192">
        <v>245400</v>
      </c>
      <c r="J385" s="240"/>
      <c r="K385" s="191">
        <f t="shared" si="543"/>
        <v>0</v>
      </c>
      <c r="L385" s="192"/>
      <c r="M385" s="192"/>
      <c r="N385" s="240"/>
      <c r="O385" s="191">
        <f t="shared" si="544"/>
        <v>0</v>
      </c>
      <c r="P385" s="192"/>
      <c r="Q385" s="192"/>
      <c r="R385" s="240"/>
      <c r="S385" s="191">
        <f t="shared" ref="S385:S390" si="624">T385+V385</f>
        <v>252400</v>
      </c>
      <c r="T385" s="227">
        <f>D385+H385+L385+P385</f>
        <v>252400</v>
      </c>
      <c r="U385" s="227">
        <f t="shared" ref="U385:U390" si="625">E385+I385+M385+Q385</f>
        <v>245400</v>
      </c>
      <c r="V385" s="228">
        <f t="shared" ref="V385:V390" si="626">F385+J385+N385+R385</f>
        <v>0</v>
      </c>
      <c r="W385" s="150"/>
    </row>
    <row r="386" spans="1:23" x14ac:dyDescent="0.2">
      <c r="A386" s="330" t="s">
        <v>68</v>
      </c>
      <c r="B386" s="326" t="s">
        <v>491</v>
      </c>
      <c r="C386" s="191">
        <f t="shared" si="540"/>
        <v>0</v>
      </c>
      <c r="D386" s="192"/>
      <c r="E386" s="192"/>
      <c r="F386" s="240"/>
      <c r="G386" s="191">
        <f t="shared" si="542"/>
        <v>1590</v>
      </c>
      <c r="H386" s="192">
        <v>1590</v>
      </c>
      <c r="I386" s="192"/>
      <c r="J386" s="240"/>
      <c r="K386" s="191">
        <f t="shared" si="543"/>
        <v>0</v>
      </c>
      <c r="L386" s="192"/>
      <c r="M386" s="192"/>
      <c r="N386" s="240"/>
      <c r="O386" s="191">
        <f t="shared" si="544"/>
        <v>0</v>
      </c>
      <c r="P386" s="192"/>
      <c r="Q386" s="192"/>
      <c r="R386" s="240"/>
      <c r="S386" s="191">
        <f t="shared" si="624"/>
        <v>1590</v>
      </c>
      <c r="T386" s="227">
        <f>D386+H386+L386+P386</f>
        <v>1590</v>
      </c>
      <c r="U386" s="227">
        <f t="shared" si="625"/>
        <v>0</v>
      </c>
      <c r="V386" s="228">
        <f t="shared" si="626"/>
        <v>0</v>
      </c>
      <c r="W386" s="150"/>
    </row>
    <row r="387" spans="1:23" s="81" customFormat="1" ht="22.5" customHeight="1" x14ac:dyDescent="0.2">
      <c r="A387" s="330" t="s">
        <v>68</v>
      </c>
      <c r="B387" s="363" t="s">
        <v>556</v>
      </c>
      <c r="C387" s="191"/>
      <c r="D387" s="227"/>
      <c r="E387" s="227"/>
      <c r="F387" s="228"/>
      <c r="G387" s="191">
        <f t="shared" si="542"/>
        <v>230</v>
      </c>
      <c r="H387" s="227">
        <v>230</v>
      </c>
      <c r="I387" s="227">
        <v>226</v>
      </c>
      <c r="J387" s="228"/>
      <c r="K387" s="191"/>
      <c r="L387" s="227"/>
      <c r="M387" s="227"/>
      <c r="N387" s="228"/>
      <c r="O387" s="191"/>
      <c r="P387" s="227"/>
      <c r="Q387" s="227"/>
      <c r="R387" s="228"/>
      <c r="S387" s="191">
        <f t="shared" si="624"/>
        <v>230</v>
      </c>
      <c r="T387" s="227">
        <f t="shared" ref="T387" si="627">D387+H387+L387+P387</f>
        <v>230</v>
      </c>
      <c r="U387" s="227">
        <f t="shared" si="625"/>
        <v>226</v>
      </c>
      <c r="V387" s="228">
        <f t="shared" si="626"/>
        <v>0</v>
      </c>
      <c r="W387" s="241"/>
    </row>
    <row r="388" spans="1:23" ht="25.5" x14ac:dyDescent="0.2">
      <c r="A388" s="330" t="s">
        <v>68</v>
      </c>
      <c r="B388" s="326" t="s">
        <v>344</v>
      </c>
      <c r="C388" s="191">
        <f t="shared" si="540"/>
        <v>123300</v>
      </c>
      <c r="D388" s="192">
        <v>123300</v>
      </c>
      <c r="E388" s="192">
        <v>62800</v>
      </c>
      <c r="F388" s="240"/>
      <c r="G388" s="191">
        <f t="shared" si="542"/>
        <v>0</v>
      </c>
      <c r="H388" s="192"/>
      <c r="I388" s="192"/>
      <c r="J388" s="240"/>
      <c r="K388" s="191">
        <f t="shared" si="543"/>
        <v>0</v>
      </c>
      <c r="L388" s="192"/>
      <c r="M388" s="192"/>
      <c r="N388" s="240"/>
      <c r="O388" s="191">
        <f t="shared" si="544"/>
        <v>0</v>
      </c>
      <c r="P388" s="192"/>
      <c r="Q388" s="192"/>
      <c r="R388" s="240"/>
      <c r="S388" s="191">
        <f t="shared" si="624"/>
        <v>123300</v>
      </c>
      <c r="T388" s="227">
        <f>D388+H388+L388+P388</f>
        <v>123300</v>
      </c>
      <c r="U388" s="227">
        <f t="shared" si="625"/>
        <v>62800</v>
      </c>
      <c r="V388" s="228">
        <f t="shared" si="626"/>
        <v>0</v>
      </c>
      <c r="W388" s="150"/>
    </row>
    <row r="389" spans="1:23" x14ac:dyDescent="0.2">
      <c r="A389" s="330" t="s">
        <v>68</v>
      </c>
      <c r="B389" s="326" t="s">
        <v>306</v>
      </c>
      <c r="C389" s="191">
        <f t="shared" si="540"/>
        <v>1100</v>
      </c>
      <c r="D389" s="192">
        <v>1100</v>
      </c>
      <c r="E389" s="192"/>
      <c r="F389" s="240"/>
      <c r="G389" s="191">
        <f t="shared" si="542"/>
        <v>0</v>
      </c>
      <c r="H389" s="192"/>
      <c r="I389" s="192"/>
      <c r="J389" s="240"/>
      <c r="K389" s="191">
        <f t="shared" si="543"/>
        <v>0</v>
      </c>
      <c r="L389" s="192"/>
      <c r="M389" s="192"/>
      <c r="N389" s="240"/>
      <c r="O389" s="191">
        <f t="shared" si="544"/>
        <v>0</v>
      </c>
      <c r="P389" s="192"/>
      <c r="Q389" s="192"/>
      <c r="R389" s="240"/>
      <c r="S389" s="191">
        <f t="shared" si="624"/>
        <v>1100</v>
      </c>
      <c r="T389" s="227">
        <f>D389+H389+L389+P389</f>
        <v>1100</v>
      </c>
      <c r="U389" s="227">
        <f t="shared" si="625"/>
        <v>0</v>
      </c>
      <c r="V389" s="240">
        <f t="shared" si="626"/>
        <v>0</v>
      </c>
    </row>
    <row r="390" spans="1:23" x14ac:dyDescent="0.2">
      <c r="A390" s="330" t="s">
        <v>68</v>
      </c>
      <c r="B390" s="326" t="s">
        <v>308</v>
      </c>
      <c r="C390" s="191">
        <f t="shared" si="540"/>
        <v>0</v>
      </c>
      <c r="D390" s="192"/>
      <c r="E390" s="192"/>
      <c r="F390" s="240"/>
      <c r="G390" s="191">
        <f t="shared" si="542"/>
        <v>0</v>
      </c>
      <c r="H390" s="192"/>
      <c r="I390" s="192"/>
      <c r="J390" s="240"/>
      <c r="K390" s="191">
        <f t="shared" si="543"/>
        <v>3700</v>
      </c>
      <c r="L390" s="192">
        <v>3700</v>
      </c>
      <c r="M390" s="192"/>
      <c r="N390" s="240"/>
      <c r="O390" s="191">
        <f t="shared" si="544"/>
        <v>0</v>
      </c>
      <c r="P390" s="192"/>
      <c r="Q390" s="192"/>
      <c r="R390" s="240"/>
      <c r="S390" s="191">
        <f t="shared" si="624"/>
        <v>3700</v>
      </c>
      <c r="T390" s="227">
        <f>D390+H390+L390+P390</f>
        <v>3700</v>
      </c>
      <c r="U390" s="227">
        <f t="shared" si="625"/>
        <v>0</v>
      </c>
      <c r="V390" s="228">
        <f t="shared" si="626"/>
        <v>0</v>
      </c>
      <c r="W390" s="150"/>
    </row>
    <row r="391" spans="1:23" ht="16.5" customHeight="1" x14ac:dyDescent="0.2">
      <c r="A391" s="329"/>
      <c r="B391" s="355" t="s">
        <v>485</v>
      </c>
      <c r="C391" s="189">
        <f t="shared" si="540"/>
        <v>112900</v>
      </c>
      <c r="D391" s="190">
        <f>SUM(D392:D394)</f>
        <v>112900</v>
      </c>
      <c r="E391" s="190">
        <f>SUM(E392:E394)</f>
        <v>103200</v>
      </c>
      <c r="F391" s="190">
        <f>SUM(F392:F394)</f>
        <v>0</v>
      </c>
      <c r="G391" s="189">
        <f t="shared" si="542"/>
        <v>90400</v>
      </c>
      <c r="H391" s="190">
        <f>SUM(H392:H394)</f>
        <v>90400</v>
      </c>
      <c r="I391" s="190">
        <f>SUM(I392:I394)</f>
        <v>88100</v>
      </c>
      <c r="J391" s="190">
        <f>SUM(J392:J394)</f>
        <v>0</v>
      </c>
      <c r="K391" s="189">
        <f t="shared" si="543"/>
        <v>2000</v>
      </c>
      <c r="L391" s="190">
        <f>SUM(L392:L394)</f>
        <v>2000</v>
      </c>
      <c r="M391" s="190">
        <f>SUM(M392:M394)</f>
        <v>0</v>
      </c>
      <c r="N391" s="190">
        <f>SUM(N392:N394)</f>
        <v>0</v>
      </c>
      <c r="O391" s="189">
        <f t="shared" si="544"/>
        <v>0</v>
      </c>
      <c r="P391" s="190">
        <f>SUM(P392:P394)</f>
        <v>0</v>
      </c>
      <c r="Q391" s="190">
        <f>SUM(Q392:Q394)</f>
        <v>0</v>
      </c>
      <c r="R391" s="190">
        <f>SUM(R392:R394)</f>
        <v>0</v>
      </c>
      <c r="S391" s="189">
        <f t="shared" si="574"/>
        <v>205300</v>
      </c>
      <c r="T391" s="190">
        <f>SUM(T392:T394)</f>
        <v>205300</v>
      </c>
      <c r="U391" s="190">
        <f>SUM(U392:U394)</f>
        <v>191300</v>
      </c>
      <c r="V391" s="251">
        <f>SUM(V392:V394)</f>
        <v>0</v>
      </c>
    </row>
    <row r="392" spans="1:23" x14ac:dyDescent="0.2">
      <c r="A392" s="330" t="s">
        <v>68</v>
      </c>
      <c r="B392" s="326" t="s">
        <v>307</v>
      </c>
      <c r="C392" s="191">
        <f t="shared" si="540"/>
        <v>0</v>
      </c>
      <c r="D392" s="192"/>
      <c r="E392" s="192"/>
      <c r="F392" s="240"/>
      <c r="G392" s="191">
        <f t="shared" si="542"/>
        <v>90400</v>
      </c>
      <c r="H392" s="192">
        <v>90400</v>
      </c>
      <c r="I392" s="192">
        <v>88100</v>
      </c>
      <c r="J392" s="240"/>
      <c r="K392" s="191">
        <f t="shared" si="543"/>
        <v>0</v>
      </c>
      <c r="L392" s="192"/>
      <c r="M392" s="192"/>
      <c r="N392" s="240"/>
      <c r="O392" s="191">
        <f t="shared" si="544"/>
        <v>0</v>
      </c>
      <c r="P392" s="192"/>
      <c r="Q392" s="192"/>
      <c r="R392" s="240"/>
      <c r="S392" s="191">
        <f t="shared" ref="S392:S394" si="628">T392+V392</f>
        <v>90400</v>
      </c>
      <c r="T392" s="227">
        <f>D392+H392+L392+P392</f>
        <v>90400</v>
      </c>
      <c r="U392" s="227">
        <f t="shared" ref="U392:U394" si="629">E392+I392+M392+Q392</f>
        <v>88100</v>
      </c>
      <c r="V392" s="228">
        <f t="shared" ref="V392:V394" si="630">F392+J392+N392+R392</f>
        <v>0</v>
      </c>
      <c r="W392" s="150"/>
    </row>
    <row r="393" spans="1:23" ht="23.25" customHeight="1" x14ac:dyDescent="0.2">
      <c r="A393" s="330" t="s">
        <v>68</v>
      </c>
      <c r="B393" s="326" t="s">
        <v>344</v>
      </c>
      <c r="C393" s="191">
        <f t="shared" si="540"/>
        <v>112900</v>
      </c>
      <c r="D393" s="192">
        <v>112900</v>
      </c>
      <c r="E393" s="192">
        <v>103200</v>
      </c>
      <c r="F393" s="240"/>
      <c r="G393" s="191">
        <f t="shared" si="542"/>
        <v>0</v>
      </c>
      <c r="H393" s="192"/>
      <c r="I393" s="192"/>
      <c r="J393" s="240"/>
      <c r="K393" s="191">
        <f t="shared" si="543"/>
        <v>0</v>
      </c>
      <c r="L393" s="192"/>
      <c r="M393" s="192"/>
      <c r="N393" s="240"/>
      <c r="O393" s="191">
        <f t="shared" si="544"/>
        <v>0</v>
      </c>
      <c r="P393" s="192"/>
      <c r="Q393" s="192"/>
      <c r="R393" s="240"/>
      <c r="S393" s="191">
        <f t="shared" si="628"/>
        <v>112900</v>
      </c>
      <c r="T393" s="227">
        <f>D393+H393+L393+P393</f>
        <v>112900</v>
      </c>
      <c r="U393" s="227">
        <f t="shared" si="629"/>
        <v>103200</v>
      </c>
      <c r="V393" s="228">
        <f t="shared" si="630"/>
        <v>0</v>
      </c>
      <c r="W393" s="150"/>
    </row>
    <row r="394" spans="1:23" x14ac:dyDescent="0.2">
      <c r="A394" s="330" t="s">
        <v>68</v>
      </c>
      <c r="B394" s="326" t="s">
        <v>308</v>
      </c>
      <c r="C394" s="191">
        <f t="shared" si="540"/>
        <v>0</v>
      </c>
      <c r="D394" s="192"/>
      <c r="E394" s="192"/>
      <c r="F394" s="240"/>
      <c r="G394" s="191">
        <f t="shared" si="542"/>
        <v>0</v>
      </c>
      <c r="H394" s="192"/>
      <c r="I394" s="192"/>
      <c r="J394" s="240"/>
      <c r="K394" s="191">
        <f t="shared" si="543"/>
        <v>2000</v>
      </c>
      <c r="L394" s="192">
        <v>2000</v>
      </c>
      <c r="M394" s="192"/>
      <c r="N394" s="240"/>
      <c r="O394" s="191">
        <f t="shared" si="544"/>
        <v>0</v>
      </c>
      <c r="P394" s="192"/>
      <c r="Q394" s="192"/>
      <c r="R394" s="240"/>
      <c r="S394" s="191">
        <f t="shared" si="628"/>
        <v>2000</v>
      </c>
      <c r="T394" s="227">
        <f>D394+H394+L394+P394</f>
        <v>2000</v>
      </c>
      <c r="U394" s="227">
        <f t="shared" si="629"/>
        <v>0</v>
      </c>
      <c r="V394" s="228">
        <f t="shared" si="630"/>
        <v>0</v>
      </c>
      <c r="W394" s="150"/>
    </row>
    <row r="395" spans="1:23" x14ac:dyDescent="0.2">
      <c r="A395" s="329"/>
      <c r="B395" s="355" t="s">
        <v>347</v>
      </c>
      <c r="C395" s="189">
        <f>D395+F395</f>
        <v>220000</v>
      </c>
      <c r="D395" s="190">
        <f>SUM(D396:D401)</f>
        <v>220000</v>
      </c>
      <c r="E395" s="190">
        <f>SUM(E396:E401)</f>
        <v>146000</v>
      </c>
      <c r="F395" s="190">
        <f>SUM(F396:F401)</f>
        <v>0</v>
      </c>
      <c r="G395" s="189">
        <f t="shared" si="542"/>
        <v>647790</v>
      </c>
      <c r="H395" s="190">
        <f>SUM(H396:H401)</f>
        <v>647790</v>
      </c>
      <c r="I395" s="190">
        <f>SUM(I396:I401)</f>
        <v>614587</v>
      </c>
      <c r="J395" s="190">
        <f>SUM(J396:J401)</f>
        <v>0</v>
      </c>
      <c r="K395" s="189">
        <f t="shared" si="543"/>
        <v>6000</v>
      </c>
      <c r="L395" s="190">
        <f>SUM(L396:L401)</f>
        <v>6000</v>
      </c>
      <c r="M395" s="190">
        <f>SUM(M396:M401)</f>
        <v>0</v>
      </c>
      <c r="N395" s="190">
        <f>SUM(N396:N401)</f>
        <v>0</v>
      </c>
      <c r="O395" s="189">
        <f t="shared" si="544"/>
        <v>0</v>
      </c>
      <c r="P395" s="190">
        <f>SUM(P396:P401)</f>
        <v>0</v>
      </c>
      <c r="Q395" s="190">
        <f>SUM(Q396:Q401)</f>
        <v>0</v>
      </c>
      <c r="R395" s="190">
        <f>SUM(R396:R401)</f>
        <v>0</v>
      </c>
      <c r="S395" s="189">
        <f>T395+V395</f>
        <v>873790</v>
      </c>
      <c r="T395" s="190">
        <f>SUM(T396:T401)</f>
        <v>873790</v>
      </c>
      <c r="U395" s="190">
        <f>SUM(U396:U401)</f>
        <v>760587</v>
      </c>
      <c r="V395" s="251">
        <f>SUM(V396:V401)</f>
        <v>0</v>
      </c>
    </row>
    <row r="396" spans="1:23" x14ac:dyDescent="0.2">
      <c r="A396" s="330" t="s">
        <v>68</v>
      </c>
      <c r="B396" s="326" t="s">
        <v>307</v>
      </c>
      <c r="C396" s="191">
        <f>D396+F396</f>
        <v>0</v>
      </c>
      <c r="D396" s="192"/>
      <c r="E396" s="192"/>
      <c r="F396" s="240"/>
      <c r="G396" s="191">
        <f t="shared" si="542"/>
        <v>634400</v>
      </c>
      <c r="H396" s="192">
        <v>634400</v>
      </c>
      <c r="I396" s="192">
        <v>613000</v>
      </c>
      <c r="J396" s="240"/>
      <c r="K396" s="191">
        <f t="shared" si="543"/>
        <v>0</v>
      </c>
      <c r="L396" s="192"/>
      <c r="M396" s="192"/>
      <c r="N396" s="240"/>
      <c r="O396" s="191">
        <f t="shared" si="544"/>
        <v>0</v>
      </c>
      <c r="P396" s="192"/>
      <c r="Q396" s="192"/>
      <c r="R396" s="240"/>
      <c r="S396" s="191">
        <f t="shared" ref="S396:S401" si="631">T396+V396</f>
        <v>634400</v>
      </c>
      <c r="T396" s="227">
        <f>D396+H396+L396+P396</f>
        <v>634400</v>
      </c>
      <c r="U396" s="227">
        <f t="shared" ref="U396:U401" si="632">E396+I396+M396+Q396</f>
        <v>613000</v>
      </c>
      <c r="V396" s="228">
        <f t="shared" ref="V396:V401" si="633">F396+J396+N396+R396</f>
        <v>0</v>
      </c>
      <c r="W396" s="150"/>
    </row>
    <row r="397" spans="1:23" x14ac:dyDescent="0.2">
      <c r="A397" s="330" t="s">
        <v>68</v>
      </c>
      <c r="B397" s="326" t="s">
        <v>491</v>
      </c>
      <c r="C397" s="191">
        <f t="shared" ref="C397" si="634">D397+F397</f>
        <v>0</v>
      </c>
      <c r="D397" s="192"/>
      <c r="E397" s="192"/>
      <c r="F397" s="240"/>
      <c r="G397" s="191">
        <f t="shared" si="542"/>
        <v>11780</v>
      </c>
      <c r="H397" s="192">
        <v>11780</v>
      </c>
      <c r="I397" s="192"/>
      <c r="J397" s="240"/>
      <c r="K397" s="191">
        <f t="shared" si="543"/>
        <v>0</v>
      </c>
      <c r="L397" s="192"/>
      <c r="M397" s="192"/>
      <c r="N397" s="240"/>
      <c r="O397" s="191">
        <f t="shared" si="544"/>
        <v>0</v>
      </c>
      <c r="P397" s="192"/>
      <c r="Q397" s="192"/>
      <c r="R397" s="240"/>
      <c r="S397" s="191">
        <f t="shared" si="631"/>
        <v>11780</v>
      </c>
      <c r="T397" s="227">
        <f>D397+H397+L397+P397</f>
        <v>11780</v>
      </c>
      <c r="U397" s="227">
        <f t="shared" si="632"/>
        <v>0</v>
      </c>
      <c r="V397" s="240">
        <f t="shared" si="633"/>
        <v>0</v>
      </c>
    </row>
    <row r="398" spans="1:23" s="81" customFormat="1" ht="22.5" customHeight="1" x14ac:dyDescent="0.2">
      <c r="A398" s="330" t="s">
        <v>68</v>
      </c>
      <c r="B398" s="363" t="s">
        <v>556</v>
      </c>
      <c r="C398" s="191"/>
      <c r="D398" s="227"/>
      <c r="E398" s="227"/>
      <c r="F398" s="228"/>
      <c r="G398" s="191">
        <f t="shared" si="542"/>
        <v>1610</v>
      </c>
      <c r="H398" s="227">
        <v>1610</v>
      </c>
      <c r="I398" s="227">
        <v>1587</v>
      </c>
      <c r="J398" s="228"/>
      <c r="K398" s="191"/>
      <c r="L398" s="227"/>
      <c r="M398" s="227"/>
      <c r="N398" s="228"/>
      <c r="O398" s="191"/>
      <c r="P398" s="227"/>
      <c r="Q398" s="227"/>
      <c r="R398" s="228"/>
      <c r="S398" s="191">
        <f t="shared" si="631"/>
        <v>1610</v>
      </c>
      <c r="T398" s="227">
        <f t="shared" ref="T398" si="635">D398+H398+L398+P398</f>
        <v>1610</v>
      </c>
      <c r="U398" s="227">
        <f t="shared" si="632"/>
        <v>1587</v>
      </c>
      <c r="V398" s="228">
        <f t="shared" si="633"/>
        <v>0</v>
      </c>
      <c r="W398" s="241"/>
    </row>
    <row r="399" spans="1:23" ht="22.5" customHeight="1" x14ac:dyDescent="0.2">
      <c r="A399" s="330" t="s">
        <v>68</v>
      </c>
      <c r="B399" s="326" t="s">
        <v>344</v>
      </c>
      <c r="C399" s="191">
        <f>D399+F399</f>
        <v>204900</v>
      </c>
      <c r="D399" s="192">
        <v>204900</v>
      </c>
      <c r="E399" s="192">
        <v>146000</v>
      </c>
      <c r="F399" s="240"/>
      <c r="G399" s="191">
        <f t="shared" si="542"/>
        <v>0</v>
      </c>
      <c r="H399" s="192"/>
      <c r="I399" s="192"/>
      <c r="J399" s="240"/>
      <c r="K399" s="191">
        <f t="shared" si="543"/>
        <v>0</v>
      </c>
      <c r="L399" s="192"/>
      <c r="M399" s="192"/>
      <c r="N399" s="240"/>
      <c r="O399" s="191">
        <f t="shared" si="544"/>
        <v>0</v>
      </c>
      <c r="P399" s="192"/>
      <c r="Q399" s="192"/>
      <c r="R399" s="240"/>
      <c r="S399" s="191">
        <f t="shared" si="631"/>
        <v>204900</v>
      </c>
      <c r="T399" s="227">
        <f>D399+H399+L399+P399</f>
        <v>204900</v>
      </c>
      <c r="U399" s="227">
        <f t="shared" si="632"/>
        <v>146000</v>
      </c>
      <c r="V399" s="228">
        <f t="shared" si="633"/>
        <v>0</v>
      </c>
      <c r="W399" s="150"/>
    </row>
    <row r="400" spans="1:23" x14ac:dyDescent="0.2">
      <c r="A400" s="330" t="s">
        <v>68</v>
      </c>
      <c r="B400" s="326" t="s">
        <v>306</v>
      </c>
      <c r="C400" s="191">
        <f>D400+F400</f>
        <v>15100</v>
      </c>
      <c r="D400" s="192">
        <v>15100</v>
      </c>
      <c r="E400" s="192"/>
      <c r="F400" s="240"/>
      <c r="G400" s="191">
        <f t="shared" si="542"/>
        <v>0</v>
      </c>
      <c r="H400" s="192"/>
      <c r="I400" s="192"/>
      <c r="J400" s="240"/>
      <c r="K400" s="191">
        <f t="shared" si="543"/>
        <v>0</v>
      </c>
      <c r="L400" s="192"/>
      <c r="M400" s="192"/>
      <c r="N400" s="240"/>
      <c r="O400" s="191">
        <f t="shared" si="544"/>
        <v>0</v>
      </c>
      <c r="P400" s="192"/>
      <c r="Q400" s="192"/>
      <c r="R400" s="240"/>
      <c r="S400" s="191">
        <f t="shared" si="631"/>
        <v>15100</v>
      </c>
      <c r="T400" s="227">
        <f>D400+H400+L400+P400</f>
        <v>15100</v>
      </c>
      <c r="U400" s="227">
        <f t="shared" si="632"/>
        <v>0</v>
      </c>
      <c r="V400" s="228">
        <f t="shared" si="633"/>
        <v>0</v>
      </c>
      <c r="W400" s="150"/>
    </row>
    <row r="401" spans="1:23" x14ac:dyDescent="0.2">
      <c r="A401" s="330" t="s">
        <v>68</v>
      </c>
      <c r="B401" s="326" t="s">
        <v>308</v>
      </c>
      <c r="C401" s="191">
        <f>D401+F401</f>
        <v>0</v>
      </c>
      <c r="D401" s="192"/>
      <c r="E401" s="192"/>
      <c r="F401" s="240"/>
      <c r="G401" s="191">
        <f t="shared" si="542"/>
        <v>0</v>
      </c>
      <c r="H401" s="192"/>
      <c r="I401" s="192"/>
      <c r="J401" s="240"/>
      <c r="K401" s="191">
        <f t="shared" si="543"/>
        <v>6000</v>
      </c>
      <c r="L401" s="192">
        <v>6000</v>
      </c>
      <c r="M401" s="192"/>
      <c r="N401" s="240"/>
      <c r="O401" s="191">
        <f t="shared" si="544"/>
        <v>0</v>
      </c>
      <c r="P401" s="192"/>
      <c r="Q401" s="192"/>
      <c r="R401" s="240"/>
      <c r="S401" s="191">
        <f t="shared" si="631"/>
        <v>6000</v>
      </c>
      <c r="T401" s="227">
        <f>D401+H401+L401+P401</f>
        <v>6000</v>
      </c>
      <c r="U401" s="227">
        <f t="shared" si="632"/>
        <v>0</v>
      </c>
      <c r="V401" s="228">
        <f t="shared" si="633"/>
        <v>0</v>
      </c>
      <c r="W401" s="150"/>
    </row>
    <row r="402" spans="1:23" x14ac:dyDescent="0.2">
      <c r="A402" s="392"/>
      <c r="B402" s="355" t="s">
        <v>348</v>
      </c>
      <c r="C402" s="189">
        <f t="shared" ref="C402:C456" si="636">D402+F402</f>
        <v>220600</v>
      </c>
      <c r="D402" s="190">
        <f>SUM(D403:D409)</f>
        <v>220600</v>
      </c>
      <c r="E402" s="190">
        <f>SUM(E403:E409)</f>
        <v>176700</v>
      </c>
      <c r="F402" s="190">
        <f>SUM(F403:F409)</f>
        <v>0</v>
      </c>
      <c r="G402" s="189">
        <f t="shared" si="542"/>
        <v>683320</v>
      </c>
      <c r="H402" s="190">
        <f>SUM(H403:H409)</f>
        <v>683320</v>
      </c>
      <c r="I402" s="190">
        <f>SUM(I403:I409)</f>
        <v>653067</v>
      </c>
      <c r="J402" s="190">
        <f>SUM(J403:J409)</f>
        <v>0</v>
      </c>
      <c r="K402" s="189">
        <f t="shared" si="543"/>
        <v>8500</v>
      </c>
      <c r="L402" s="190">
        <f>SUM(L403:L409)</f>
        <v>8500</v>
      </c>
      <c r="M402" s="190">
        <f>SUM(M403:M409)</f>
        <v>0</v>
      </c>
      <c r="N402" s="190">
        <f>SUM(N403:N409)</f>
        <v>0</v>
      </c>
      <c r="O402" s="189">
        <f t="shared" si="544"/>
        <v>89012.64</v>
      </c>
      <c r="P402" s="190">
        <f>SUM(P403:P409)</f>
        <v>0</v>
      </c>
      <c r="Q402" s="190">
        <f>SUM(Q403:Q409)</f>
        <v>0</v>
      </c>
      <c r="R402" s="190">
        <f>SUM(R403:R409)</f>
        <v>89012.64</v>
      </c>
      <c r="S402" s="189">
        <f t="shared" ref="S402:S455" si="637">T402+V402</f>
        <v>1001432.64</v>
      </c>
      <c r="T402" s="190">
        <f>SUM(T403:T409)</f>
        <v>912420</v>
      </c>
      <c r="U402" s="190">
        <f>SUM(U403:U409)</f>
        <v>829767</v>
      </c>
      <c r="V402" s="251">
        <f>SUM(V403:V409)</f>
        <v>89012.64</v>
      </c>
    </row>
    <row r="403" spans="1:23" x14ac:dyDescent="0.2">
      <c r="A403" s="330" t="s">
        <v>68</v>
      </c>
      <c r="B403" s="326" t="s">
        <v>307</v>
      </c>
      <c r="C403" s="191">
        <f t="shared" si="636"/>
        <v>0</v>
      </c>
      <c r="D403" s="192"/>
      <c r="E403" s="192"/>
      <c r="F403" s="240"/>
      <c r="G403" s="191">
        <f t="shared" si="542"/>
        <v>670100</v>
      </c>
      <c r="H403" s="192">
        <v>670100</v>
      </c>
      <c r="I403" s="192">
        <v>651500</v>
      </c>
      <c r="J403" s="240"/>
      <c r="K403" s="191">
        <f t="shared" si="543"/>
        <v>0</v>
      </c>
      <c r="L403" s="192"/>
      <c r="M403" s="192"/>
      <c r="N403" s="240"/>
      <c r="O403" s="191">
        <f t="shared" si="544"/>
        <v>0</v>
      </c>
      <c r="P403" s="192"/>
      <c r="Q403" s="192"/>
      <c r="R403" s="240"/>
      <c r="S403" s="191">
        <f t="shared" si="637"/>
        <v>670100</v>
      </c>
      <c r="T403" s="227">
        <f t="shared" ref="T403:T409" si="638">D403+H403+L403+P403</f>
        <v>670100</v>
      </c>
      <c r="U403" s="227">
        <f t="shared" ref="U403:U409" si="639">E403+I403+M403+Q403</f>
        <v>651500</v>
      </c>
      <c r="V403" s="228">
        <f t="shared" ref="V403:V409" si="640">F403+J403+N403+R403</f>
        <v>0</v>
      </c>
      <c r="W403" s="150"/>
    </row>
    <row r="404" spans="1:23" x14ac:dyDescent="0.2">
      <c r="A404" s="330" t="s">
        <v>68</v>
      </c>
      <c r="B404" s="326" t="s">
        <v>491</v>
      </c>
      <c r="C404" s="191">
        <f t="shared" si="636"/>
        <v>0</v>
      </c>
      <c r="D404" s="192"/>
      <c r="E404" s="192"/>
      <c r="F404" s="240"/>
      <c r="G404" s="191">
        <f t="shared" si="542"/>
        <v>11630</v>
      </c>
      <c r="H404" s="192">
        <v>11630</v>
      </c>
      <c r="I404" s="192"/>
      <c r="J404" s="240"/>
      <c r="K404" s="191">
        <f t="shared" si="543"/>
        <v>0</v>
      </c>
      <c r="L404" s="192"/>
      <c r="M404" s="192"/>
      <c r="N404" s="240"/>
      <c r="O404" s="191">
        <f t="shared" si="544"/>
        <v>0</v>
      </c>
      <c r="P404" s="192"/>
      <c r="Q404" s="192"/>
      <c r="R404" s="240"/>
      <c r="S404" s="191">
        <f t="shared" si="637"/>
        <v>11630</v>
      </c>
      <c r="T404" s="227">
        <f t="shared" si="638"/>
        <v>11630</v>
      </c>
      <c r="U404" s="227">
        <f t="shared" si="639"/>
        <v>0</v>
      </c>
      <c r="V404" s="240">
        <f t="shared" si="640"/>
        <v>0</v>
      </c>
    </row>
    <row r="405" spans="1:23" s="81" customFormat="1" ht="22.5" customHeight="1" x14ac:dyDescent="0.2">
      <c r="A405" s="330" t="s">
        <v>68</v>
      </c>
      <c r="B405" s="363" t="s">
        <v>556</v>
      </c>
      <c r="C405" s="191"/>
      <c r="D405" s="227"/>
      <c r="E405" s="227"/>
      <c r="F405" s="228"/>
      <c r="G405" s="191">
        <f t="shared" si="542"/>
        <v>1590</v>
      </c>
      <c r="H405" s="227">
        <v>1590</v>
      </c>
      <c r="I405" s="227">
        <v>1567</v>
      </c>
      <c r="J405" s="228"/>
      <c r="K405" s="191"/>
      <c r="L405" s="227"/>
      <c r="M405" s="227"/>
      <c r="N405" s="228"/>
      <c r="O405" s="191"/>
      <c r="P405" s="227"/>
      <c r="Q405" s="227"/>
      <c r="R405" s="228"/>
      <c r="S405" s="191">
        <f t="shared" si="637"/>
        <v>1590</v>
      </c>
      <c r="T405" s="227">
        <f t="shared" si="638"/>
        <v>1590</v>
      </c>
      <c r="U405" s="227">
        <f t="shared" si="639"/>
        <v>1567</v>
      </c>
      <c r="V405" s="228">
        <f t="shared" si="640"/>
        <v>0</v>
      </c>
      <c r="W405" s="241"/>
    </row>
    <row r="406" spans="1:23" ht="24" customHeight="1" x14ac:dyDescent="0.2">
      <c r="A406" s="330" t="s">
        <v>68</v>
      </c>
      <c r="B406" s="326" t="s">
        <v>344</v>
      </c>
      <c r="C406" s="191">
        <f t="shared" si="636"/>
        <v>209000</v>
      </c>
      <c r="D406" s="192">
        <v>209000</v>
      </c>
      <c r="E406" s="192">
        <v>176700</v>
      </c>
      <c r="F406" s="240"/>
      <c r="G406" s="191">
        <f t="shared" si="542"/>
        <v>0</v>
      </c>
      <c r="H406" s="192"/>
      <c r="I406" s="192"/>
      <c r="J406" s="240"/>
      <c r="K406" s="191">
        <f t="shared" si="543"/>
        <v>0</v>
      </c>
      <c r="L406" s="192"/>
      <c r="M406" s="192"/>
      <c r="N406" s="240"/>
      <c r="O406" s="191">
        <f t="shared" si="544"/>
        <v>0</v>
      </c>
      <c r="P406" s="192"/>
      <c r="Q406" s="192"/>
      <c r="R406" s="240"/>
      <c r="S406" s="191">
        <f t="shared" si="637"/>
        <v>209000</v>
      </c>
      <c r="T406" s="227">
        <f t="shared" si="638"/>
        <v>209000</v>
      </c>
      <c r="U406" s="227">
        <f t="shared" si="639"/>
        <v>176700</v>
      </c>
      <c r="V406" s="240">
        <f t="shared" si="640"/>
        <v>0</v>
      </c>
    </row>
    <row r="407" spans="1:23" x14ac:dyDescent="0.2">
      <c r="A407" s="330" t="s">
        <v>68</v>
      </c>
      <c r="B407" s="326" t="s">
        <v>306</v>
      </c>
      <c r="C407" s="191">
        <f t="shared" si="636"/>
        <v>11600</v>
      </c>
      <c r="D407" s="192">
        <f>12600-1000</f>
        <v>11600</v>
      </c>
      <c r="E407" s="192"/>
      <c r="F407" s="240"/>
      <c r="G407" s="191">
        <f t="shared" si="542"/>
        <v>0</v>
      </c>
      <c r="H407" s="192"/>
      <c r="I407" s="192"/>
      <c r="J407" s="240"/>
      <c r="K407" s="191">
        <f t="shared" si="543"/>
        <v>0</v>
      </c>
      <c r="L407" s="192"/>
      <c r="M407" s="192"/>
      <c r="N407" s="240"/>
      <c r="O407" s="191">
        <f t="shared" si="544"/>
        <v>0</v>
      </c>
      <c r="P407" s="192"/>
      <c r="Q407" s="192"/>
      <c r="R407" s="240"/>
      <c r="S407" s="191">
        <f t="shared" si="637"/>
        <v>11600</v>
      </c>
      <c r="T407" s="227">
        <f t="shared" si="638"/>
        <v>11600</v>
      </c>
      <c r="U407" s="227">
        <f t="shared" si="639"/>
        <v>0</v>
      </c>
      <c r="V407" s="240">
        <f t="shared" si="640"/>
        <v>0</v>
      </c>
    </row>
    <row r="408" spans="1:23" s="223" customFormat="1" ht="30" customHeight="1" x14ac:dyDescent="0.2">
      <c r="A408" s="330" t="s">
        <v>68</v>
      </c>
      <c r="B408" s="409" t="s">
        <v>502</v>
      </c>
      <c r="C408" s="393"/>
      <c r="D408" s="225"/>
      <c r="E408" s="225"/>
      <c r="F408" s="226"/>
      <c r="G408" s="393"/>
      <c r="H408" s="225"/>
      <c r="I408" s="225"/>
      <c r="J408" s="226"/>
      <c r="K408" s="393"/>
      <c r="L408" s="225"/>
      <c r="M408" s="225"/>
      <c r="N408" s="226"/>
      <c r="O408" s="191">
        <f t="shared" si="544"/>
        <v>89012.64</v>
      </c>
      <c r="P408" s="225"/>
      <c r="Q408" s="225"/>
      <c r="R408" s="226">
        <v>89012.64</v>
      </c>
      <c r="S408" s="191">
        <f t="shared" si="637"/>
        <v>89012.64</v>
      </c>
      <c r="T408" s="227">
        <f t="shared" si="638"/>
        <v>0</v>
      </c>
      <c r="U408" s="227">
        <f t="shared" si="639"/>
        <v>0</v>
      </c>
      <c r="V408" s="240">
        <f t="shared" si="640"/>
        <v>89012.64</v>
      </c>
    </row>
    <row r="409" spans="1:23" x14ac:dyDescent="0.2">
      <c r="A409" s="330" t="s">
        <v>68</v>
      </c>
      <c r="B409" s="326" t="s">
        <v>308</v>
      </c>
      <c r="C409" s="191">
        <f t="shared" si="636"/>
        <v>0</v>
      </c>
      <c r="D409" s="192"/>
      <c r="E409" s="192"/>
      <c r="F409" s="240"/>
      <c r="G409" s="191">
        <f t="shared" ref="G409" si="641">H409+J409</f>
        <v>0</v>
      </c>
      <c r="H409" s="192"/>
      <c r="I409" s="192"/>
      <c r="J409" s="240"/>
      <c r="K409" s="191">
        <f t="shared" ref="K409" si="642">L409+N409</f>
        <v>8500</v>
      </c>
      <c r="L409" s="192">
        <v>8500</v>
      </c>
      <c r="M409" s="192"/>
      <c r="N409" s="240"/>
      <c r="O409" s="191">
        <f t="shared" ref="O409" si="643">P409+R409</f>
        <v>0</v>
      </c>
      <c r="P409" s="192"/>
      <c r="Q409" s="192"/>
      <c r="R409" s="240"/>
      <c r="S409" s="191">
        <f t="shared" si="637"/>
        <v>8500</v>
      </c>
      <c r="T409" s="227">
        <f t="shared" si="638"/>
        <v>8500</v>
      </c>
      <c r="U409" s="227">
        <f t="shared" si="639"/>
        <v>0</v>
      </c>
      <c r="V409" s="228">
        <f t="shared" si="640"/>
        <v>0</v>
      </c>
      <c r="W409" s="150"/>
    </row>
    <row r="410" spans="1:23" x14ac:dyDescent="0.2">
      <c r="A410" s="336"/>
      <c r="B410" s="355" t="s">
        <v>349</v>
      </c>
      <c r="C410" s="189">
        <f t="shared" si="636"/>
        <v>88400</v>
      </c>
      <c r="D410" s="190">
        <f>SUM(D411:D415)</f>
        <v>88400</v>
      </c>
      <c r="E410" s="190">
        <f>SUM(E411:E415)</f>
        <v>65500</v>
      </c>
      <c r="F410" s="190">
        <f>SUM(F411:F415)</f>
        <v>0</v>
      </c>
      <c r="G410" s="189">
        <f>H410+J410</f>
        <v>330510</v>
      </c>
      <c r="H410" s="190">
        <f>SUM(H411:H415)</f>
        <v>330510</v>
      </c>
      <c r="I410" s="190">
        <f>SUM(I411:I415)</f>
        <v>316864</v>
      </c>
      <c r="J410" s="190">
        <f>SUM(J411:J415)</f>
        <v>0</v>
      </c>
      <c r="K410" s="189">
        <f>L410+N410</f>
        <v>0</v>
      </c>
      <c r="L410" s="190">
        <f>SUM(L411:L415)</f>
        <v>0</v>
      </c>
      <c r="M410" s="190">
        <f>SUM(M411:M415)</f>
        <v>0</v>
      </c>
      <c r="N410" s="190">
        <f>SUM(N411:N415)</f>
        <v>0</v>
      </c>
      <c r="O410" s="189">
        <f>P410+R410</f>
        <v>0</v>
      </c>
      <c r="P410" s="190">
        <f>SUM(P411:P415)</f>
        <v>0</v>
      </c>
      <c r="Q410" s="190">
        <f>SUM(Q411:Q415)</f>
        <v>0</v>
      </c>
      <c r="R410" s="190">
        <f>SUM(R411:R415)</f>
        <v>0</v>
      </c>
      <c r="S410" s="189">
        <f t="shared" si="637"/>
        <v>418910</v>
      </c>
      <c r="T410" s="190">
        <f>SUM(T411:T415)</f>
        <v>418910</v>
      </c>
      <c r="U410" s="190">
        <f>SUM(U411:U415)</f>
        <v>382364</v>
      </c>
      <c r="V410" s="251">
        <f>SUM(V411:V415)</f>
        <v>0</v>
      </c>
    </row>
    <row r="411" spans="1:23" x14ac:dyDescent="0.2">
      <c r="A411" s="330" t="s">
        <v>68</v>
      </c>
      <c r="B411" s="326" t="s">
        <v>307</v>
      </c>
      <c r="C411" s="191">
        <f t="shared" si="636"/>
        <v>0</v>
      </c>
      <c r="D411" s="192"/>
      <c r="E411" s="192"/>
      <c r="F411" s="240"/>
      <c r="G411" s="191">
        <f>H411+J411</f>
        <v>327500</v>
      </c>
      <c r="H411" s="192">
        <v>327500</v>
      </c>
      <c r="I411" s="192">
        <v>316500</v>
      </c>
      <c r="J411" s="240"/>
      <c r="K411" s="191">
        <f>L411+N411</f>
        <v>0</v>
      </c>
      <c r="L411" s="192"/>
      <c r="M411" s="192"/>
      <c r="N411" s="240"/>
      <c r="O411" s="191">
        <f>P411+R411</f>
        <v>0</v>
      </c>
      <c r="P411" s="192"/>
      <c r="Q411" s="192"/>
      <c r="R411" s="240"/>
      <c r="S411" s="191">
        <f t="shared" si="637"/>
        <v>327500</v>
      </c>
      <c r="T411" s="227">
        <f>D411+H411+L411+P411</f>
        <v>327500</v>
      </c>
      <c r="U411" s="227">
        <f t="shared" ref="U411:U415" si="644">E411+I411+M411+Q411</f>
        <v>316500</v>
      </c>
      <c r="V411" s="240">
        <f t="shared" ref="V411:V415" si="645">F411+J411+N411+R411</f>
        <v>0</v>
      </c>
    </row>
    <row r="412" spans="1:23" x14ac:dyDescent="0.2">
      <c r="A412" s="330" t="s">
        <v>68</v>
      </c>
      <c r="B412" s="326" t="s">
        <v>491</v>
      </c>
      <c r="C412" s="191">
        <f t="shared" si="636"/>
        <v>0</v>
      </c>
      <c r="D412" s="192"/>
      <c r="E412" s="192"/>
      <c r="F412" s="240"/>
      <c r="G412" s="191">
        <f t="shared" ref="G412:G413" si="646">H412+J412</f>
        <v>2640</v>
      </c>
      <c r="H412" s="192">
        <v>2640</v>
      </c>
      <c r="I412" s="192"/>
      <c r="J412" s="240"/>
      <c r="K412" s="191">
        <f t="shared" ref="K412" si="647">L412+N412</f>
        <v>0</v>
      </c>
      <c r="L412" s="192"/>
      <c r="M412" s="192"/>
      <c r="N412" s="240"/>
      <c r="O412" s="191">
        <f t="shared" ref="O412" si="648">P412+R412</f>
        <v>0</v>
      </c>
      <c r="P412" s="192"/>
      <c r="Q412" s="192"/>
      <c r="R412" s="240"/>
      <c r="S412" s="191">
        <f t="shared" si="637"/>
        <v>2640</v>
      </c>
      <c r="T412" s="227">
        <f>D412+H412+L412+P412</f>
        <v>2640</v>
      </c>
      <c r="U412" s="227">
        <f t="shared" si="644"/>
        <v>0</v>
      </c>
      <c r="V412" s="228">
        <f t="shared" si="645"/>
        <v>0</v>
      </c>
      <c r="W412" s="150"/>
    </row>
    <row r="413" spans="1:23" s="81" customFormat="1" ht="22.5" customHeight="1" x14ac:dyDescent="0.2">
      <c r="A413" s="330" t="s">
        <v>68</v>
      </c>
      <c r="B413" s="363" t="s">
        <v>556</v>
      </c>
      <c r="C413" s="191"/>
      <c r="D413" s="227"/>
      <c r="E413" s="227"/>
      <c r="F413" s="228"/>
      <c r="G413" s="191">
        <f t="shared" si="646"/>
        <v>370</v>
      </c>
      <c r="H413" s="227">
        <v>370</v>
      </c>
      <c r="I413" s="227">
        <v>364</v>
      </c>
      <c r="J413" s="228"/>
      <c r="K413" s="191"/>
      <c r="L413" s="227"/>
      <c r="M413" s="227"/>
      <c r="N413" s="228"/>
      <c r="O413" s="191"/>
      <c r="P413" s="227"/>
      <c r="Q413" s="227"/>
      <c r="R413" s="228"/>
      <c r="S413" s="191">
        <f t="shared" si="637"/>
        <v>370</v>
      </c>
      <c r="T413" s="227">
        <f t="shared" ref="T413" si="649">D413+H413+L413+P413</f>
        <v>370</v>
      </c>
      <c r="U413" s="227">
        <f t="shared" si="644"/>
        <v>364</v>
      </c>
      <c r="V413" s="228">
        <f t="shared" si="645"/>
        <v>0</v>
      </c>
      <c r="W413" s="241"/>
    </row>
    <row r="414" spans="1:23" ht="25.5" x14ac:dyDescent="0.2">
      <c r="A414" s="330" t="s">
        <v>68</v>
      </c>
      <c r="B414" s="326" t="s">
        <v>344</v>
      </c>
      <c r="C414" s="191">
        <f t="shared" si="636"/>
        <v>85100</v>
      </c>
      <c r="D414" s="192">
        <v>85100</v>
      </c>
      <c r="E414" s="192">
        <v>65500</v>
      </c>
      <c r="F414" s="240"/>
      <c r="G414" s="191">
        <f>H414+J414</f>
        <v>0</v>
      </c>
      <c r="H414" s="192"/>
      <c r="I414" s="192"/>
      <c r="J414" s="240"/>
      <c r="K414" s="191">
        <f>L414+N414</f>
        <v>0</v>
      </c>
      <c r="L414" s="192"/>
      <c r="M414" s="192"/>
      <c r="N414" s="240"/>
      <c r="O414" s="191">
        <f>P414+R414</f>
        <v>0</v>
      </c>
      <c r="P414" s="192"/>
      <c r="Q414" s="192"/>
      <c r="R414" s="240"/>
      <c r="S414" s="191">
        <f t="shared" si="637"/>
        <v>85100</v>
      </c>
      <c r="T414" s="227">
        <f>D414+H414+L414+P414</f>
        <v>85100</v>
      </c>
      <c r="U414" s="227">
        <f t="shared" si="644"/>
        <v>65500</v>
      </c>
      <c r="V414" s="240">
        <f t="shared" si="645"/>
        <v>0</v>
      </c>
    </row>
    <row r="415" spans="1:23" x14ac:dyDescent="0.2">
      <c r="A415" s="330" t="s">
        <v>68</v>
      </c>
      <c r="B415" s="326" t="s">
        <v>306</v>
      </c>
      <c r="C415" s="191">
        <f t="shared" si="636"/>
        <v>3300</v>
      </c>
      <c r="D415" s="192">
        <v>3300</v>
      </c>
      <c r="E415" s="192"/>
      <c r="F415" s="240"/>
      <c r="G415" s="191">
        <f>H415+J415</f>
        <v>0</v>
      </c>
      <c r="H415" s="192"/>
      <c r="I415" s="192"/>
      <c r="J415" s="240"/>
      <c r="K415" s="191">
        <f>L415+N415</f>
        <v>0</v>
      </c>
      <c r="L415" s="192"/>
      <c r="M415" s="192"/>
      <c r="N415" s="240"/>
      <c r="O415" s="191">
        <f>P415+R415</f>
        <v>0</v>
      </c>
      <c r="P415" s="192"/>
      <c r="Q415" s="192"/>
      <c r="R415" s="240"/>
      <c r="S415" s="191">
        <f t="shared" si="637"/>
        <v>3300</v>
      </c>
      <c r="T415" s="227">
        <f>D415+H415+L415+P415</f>
        <v>3300</v>
      </c>
      <c r="U415" s="227">
        <f t="shared" si="644"/>
        <v>0</v>
      </c>
      <c r="V415" s="228">
        <f t="shared" si="645"/>
        <v>0</v>
      </c>
      <c r="W415" s="150"/>
    </row>
    <row r="416" spans="1:23" x14ac:dyDescent="0.2">
      <c r="A416" s="336"/>
      <c r="B416" s="355" t="s">
        <v>350</v>
      </c>
      <c r="C416" s="189">
        <f t="shared" si="636"/>
        <v>131000</v>
      </c>
      <c r="D416" s="190">
        <f>SUM(D417:D423)</f>
        <v>131000</v>
      </c>
      <c r="E416" s="190">
        <f>SUM(E417:E423)</f>
        <v>85900</v>
      </c>
      <c r="F416" s="190">
        <f>SUM(F417:F423)</f>
        <v>0</v>
      </c>
      <c r="G416" s="189">
        <f t="shared" ref="G416:G458" si="650">H416+J416</f>
        <v>306140</v>
      </c>
      <c r="H416" s="190">
        <f>SUM(H417:H423)</f>
        <v>306140</v>
      </c>
      <c r="I416" s="190">
        <f>SUM(I417:I423)</f>
        <v>295325</v>
      </c>
      <c r="J416" s="190">
        <f>SUM(J417:J423)</f>
        <v>0</v>
      </c>
      <c r="K416" s="189">
        <f t="shared" ref="K416:K459" si="651">L416+N416</f>
        <v>4778.34</v>
      </c>
      <c r="L416" s="190">
        <f>SUM(L417:L423)</f>
        <v>4778.34</v>
      </c>
      <c r="M416" s="190">
        <f>SUM(M417:M423)</f>
        <v>0</v>
      </c>
      <c r="N416" s="190">
        <f>SUM(N417:N423)</f>
        <v>0</v>
      </c>
      <c r="O416" s="189">
        <f t="shared" ref="O416:O458" si="652">P416+R416</f>
        <v>0</v>
      </c>
      <c r="P416" s="190">
        <f>SUM(P417:P423)</f>
        <v>0</v>
      </c>
      <c r="Q416" s="190">
        <f>SUM(Q417:Q423)</f>
        <v>0</v>
      </c>
      <c r="R416" s="190">
        <f>SUM(R417:R423)</f>
        <v>0</v>
      </c>
      <c r="S416" s="189">
        <f t="shared" si="637"/>
        <v>441918.34</v>
      </c>
      <c r="T416" s="190">
        <f>SUM(T417:T423)</f>
        <v>441918.34</v>
      </c>
      <c r="U416" s="190">
        <f>SUM(U417:U423)</f>
        <v>381225</v>
      </c>
      <c r="V416" s="251">
        <f>SUM(V417:V423)</f>
        <v>0</v>
      </c>
    </row>
    <row r="417" spans="1:23" x14ac:dyDescent="0.2">
      <c r="A417" s="330" t="s">
        <v>68</v>
      </c>
      <c r="B417" s="326" t="s">
        <v>307</v>
      </c>
      <c r="C417" s="191">
        <f t="shared" si="636"/>
        <v>0</v>
      </c>
      <c r="D417" s="192"/>
      <c r="E417" s="192"/>
      <c r="F417" s="240"/>
      <c r="G417" s="191">
        <f t="shared" si="650"/>
        <v>303500</v>
      </c>
      <c r="H417" s="192">
        <v>303500</v>
      </c>
      <c r="I417" s="192">
        <v>295000</v>
      </c>
      <c r="J417" s="240"/>
      <c r="K417" s="191">
        <f t="shared" si="651"/>
        <v>0</v>
      </c>
      <c r="L417" s="192"/>
      <c r="M417" s="192"/>
      <c r="N417" s="240"/>
      <c r="O417" s="191">
        <f t="shared" si="652"/>
        <v>0</v>
      </c>
      <c r="P417" s="192"/>
      <c r="Q417" s="192"/>
      <c r="R417" s="240"/>
      <c r="S417" s="191">
        <f t="shared" si="637"/>
        <v>303500</v>
      </c>
      <c r="T417" s="227">
        <f t="shared" ref="T417:T423" si="653">D417+H417+L417+P417</f>
        <v>303500</v>
      </c>
      <c r="U417" s="227">
        <f t="shared" ref="U417:U423" si="654">E417+I417+M417+Q417</f>
        <v>295000</v>
      </c>
      <c r="V417" s="228">
        <f t="shared" ref="V417:V423" si="655">F417+J417+N417+R417</f>
        <v>0</v>
      </c>
      <c r="W417" s="150"/>
    </row>
    <row r="418" spans="1:23" x14ac:dyDescent="0.2">
      <c r="A418" s="330" t="s">
        <v>68</v>
      </c>
      <c r="B418" s="326" t="s">
        <v>491</v>
      </c>
      <c r="C418" s="191">
        <f t="shared" si="636"/>
        <v>0</v>
      </c>
      <c r="D418" s="192"/>
      <c r="E418" s="192"/>
      <c r="F418" s="240"/>
      <c r="G418" s="191">
        <f t="shared" si="650"/>
        <v>2310</v>
      </c>
      <c r="H418" s="192">
        <v>2310</v>
      </c>
      <c r="I418" s="192"/>
      <c r="J418" s="240"/>
      <c r="K418" s="191">
        <f t="shared" si="651"/>
        <v>0</v>
      </c>
      <c r="L418" s="192"/>
      <c r="M418" s="192"/>
      <c r="N418" s="240"/>
      <c r="O418" s="191">
        <f t="shared" si="652"/>
        <v>0</v>
      </c>
      <c r="P418" s="192"/>
      <c r="Q418" s="192"/>
      <c r="R418" s="240"/>
      <c r="S418" s="191">
        <f t="shared" si="637"/>
        <v>2310</v>
      </c>
      <c r="T418" s="227">
        <f t="shared" si="653"/>
        <v>2310</v>
      </c>
      <c r="U418" s="227">
        <f t="shared" si="654"/>
        <v>0</v>
      </c>
      <c r="V418" s="228">
        <f t="shared" si="655"/>
        <v>0</v>
      </c>
      <c r="W418" s="150"/>
    </row>
    <row r="419" spans="1:23" s="81" customFormat="1" ht="22.5" customHeight="1" x14ac:dyDescent="0.2">
      <c r="A419" s="330" t="s">
        <v>68</v>
      </c>
      <c r="B419" s="363" t="s">
        <v>556</v>
      </c>
      <c r="C419" s="191"/>
      <c r="D419" s="227"/>
      <c r="E419" s="227"/>
      <c r="F419" s="228"/>
      <c r="G419" s="191">
        <f t="shared" si="650"/>
        <v>330</v>
      </c>
      <c r="H419" s="227">
        <v>330</v>
      </c>
      <c r="I419" s="227">
        <v>325</v>
      </c>
      <c r="J419" s="228"/>
      <c r="K419" s="191"/>
      <c r="L419" s="227"/>
      <c r="M419" s="227"/>
      <c r="N419" s="228"/>
      <c r="O419" s="191"/>
      <c r="P419" s="227"/>
      <c r="Q419" s="227"/>
      <c r="R419" s="228"/>
      <c r="S419" s="191">
        <f t="shared" si="637"/>
        <v>330</v>
      </c>
      <c r="T419" s="227">
        <f t="shared" si="653"/>
        <v>330</v>
      </c>
      <c r="U419" s="227">
        <f t="shared" si="654"/>
        <v>325</v>
      </c>
      <c r="V419" s="228">
        <f t="shared" si="655"/>
        <v>0</v>
      </c>
      <c r="W419" s="241"/>
    </row>
    <row r="420" spans="1:23" ht="25.5" x14ac:dyDescent="0.2">
      <c r="A420" s="330" t="s">
        <v>68</v>
      </c>
      <c r="B420" s="326" t="s">
        <v>575</v>
      </c>
      <c r="C420" s="191">
        <f t="shared" ref="C420" si="656">D420+F420</f>
        <v>2000</v>
      </c>
      <c r="D420" s="192">
        <v>2000</v>
      </c>
      <c r="E420" s="192">
        <v>1500</v>
      </c>
      <c r="F420" s="240"/>
      <c r="G420" s="191">
        <f t="shared" si="650"/>
        <v>0</v>
      </c>
      <c r="H420" s="192"/>
      <c r="I420" s="192"/>
      <c r="J420" s="240"/>
      <c r="K420" s="191">
        <f t="shared" ref="K420" si="657">L420+N420</f>
        <v>0</v>
      </c>
      <c r="L420" s="192"/>
      <c r="M420" s="192"/>
      <c r="N420" s="240"/>
      <c r="O420" s="191">
        <f t="shared" ref="O420" si="658">P420+R420</f>
        <v>0</v>
      </c>
      <c r="P420" s="192"/>
      <c r="Q420" s="192"/>
      <c r="R420" s="240"/>
      <c r="S420" s="191">
        <f t="shared" si="637"/>
        <v>2000</v>
      </c>
      <c r="T420" s="227">
        <f t="shared" si="653"/>
        <v>2000</v>
      </c>
      <c r="U420" s="227">
        <f t="shared" si="654"/>
        <v>1500</v>
      </c>
      <c r="V420" s="228">
        <f t="shared" si="655"/>
        <v>0</v>
      </c>
      <c r="W420" s="150"/>
    </row>
    <row r="421" spans="1:23" ht="25.5" x14ac:dyDescent="0.2">
      <c r="A421" s="330" t="s">
        <v>68</v>
      </c>
      <c r="B421" s="326" t="s">
        <v>344</v>
      </c>
      <c r="C421" s="191">
        <f t="shared" si="636"/>
        <v>129000</v>
      </c>
      <c r="D421" s="192">
        <v>129000</v>
      </c>
      <c r="E421" s="192">
        <v>84400</v>
      </c>
      <c r="F421" s="240"/>
      <c r="G421" s="191">
        <f t="shared" si="650"/>
        <v>0</v>
      </c>
      <c r="H421" s="192"/>
      <c r="I421" s="192"/>
      <c r="J421" s="240"/>
      <c r="K421" s="191">
        <f t="shared" si="651"/>
        <v>0</v>
      </c>
      <c r="L421" s="192"/>
      <c r="M421" s="192"/>
      <c r="N421" s="240"/>
      <c r="O421" s="191">
        <f t="shared" si="652"/>
        <v>0</v>
      </c>
      <c r="P421" s="192"/>
      <c r="Q421" s="192"/>
      <c r="R421" s="240"/>
      <c r="S421" s="191">
        <f t="shared" si="637"/>
        <v>129000</v>
      </c>
      <c r="T421" s="227">
        <f t="shared" si="653"/>
        <v>129000</v>
      </c>
      <c r="U421" s="227">
        <f t="shared" si="654"/>
        <v>84400</v>
      </c>
      <c r="V421" s="228">
        <f t="shared" si="655"/>
        <v>0</v>
      </c>
      <c r="W421" s="150"/>
    </row>
    <row r="422" spans="1:23" x14ac:dyDescent="0.2">
      <c r="A422" s="330" t="s">
        <v>68</v>
      </c>
      <c r="B422" s="326" t="s">
        <v>308</v>
      </c>
      <c r="C422" s="191"/>
      <c r="D422" s="192"/>
      <c r="E422" s="192"/>
      <c r="F422" s="240"/>
      <c r="G422" s="191"/>
      <c r="H422" s="192"/>
      <c r="I422" s="192"/>
      <c r="J422" s="240"/>
      <c r="K422" s="191">
        <f t="shared" si="651"/>
        <v>4400</v>
      </c>
      <c r="L422" s="192">
        <v>4400</v>
      </c>
      <c r="M422" s="192"/>
      <c r="N422" s="240"/>
      <c r="O422" s="191"/>
      <c r="P422" s="192"/>
      <c r="Q422" s="192"/>
      <c r="R422" s="240"/>
      <c r="S422" s="191">
        <f t="shared" si="637"/>
        <v>4400</v>
      </c>
      <c r="T422" s="227">
        <f t="shared" si="653"/>
        <v>4400</v>
      </c>
      <c r="U422" s="227">
        <f t="shared" si="654"/>
        <v>0</v>
      </c>
      <c r="V422" s="228">
        <f t="shared" si="655"/>
        <v>0</v>
      </c>
      <c r="W422" s="150"/>
    </row>
    <row r="423" spans="1:23" x14ac:dyDescent="0.2">
      <c r="A423" s="330" t="s">
        <v>68</v>
      </c>
      <c r="B423" s="326" t="s">
        <v>484</v>
      </c>
      <c r="C423" s="191">
        <f t="shared" ref="C423" si="659">D423+F423</f>
        <v>0</v>
      </c>
      <c r="D423" s="192"/>
      <c r="E423" s="192"/>
      <c r="F423" s="240"/>
      <c r="G423" s="191">
        <f t="shared" ref="G423" si="660">H423+J423</f>
        <v>0</v>
      </c>
      <c r="H423" s="192"/>
      <c r="I423" s="192"/>
      <c r="J423" s="240"/>
      <c r="K423" s="191">
        <f t="shared" ref="K423" si="661">L423+N423</f>
        <v>378.34</v>
      </c>
      <c r="L423" s="192">
        <v>378.34</v>
      </c>
      <c r="M423" s="192"/>
      <c r="N423" s="240"/>
      <c r="O423" s="191">
        <f t="shared" ref="O423" si="662">P423+R423</f>
        <v>0</v>
      </c>
      <c r="P423" s="192"/>
      <c r="Q423" s="192"/>
      <c r="R423" s="240"/>
      <c r="S423" s="191">
        <f t="shared" si="637"/>
        <v>378.34</v>
      </c>
      <c r="T423" s="227">
        <f t="shared" si="653"/>
        <v>378.34</v>
      </c>
      <c r="U423" s="227">
        <f t="shared" si="654"/>
        <v>0</v>
      </c>
      <c r="V423" s="228">
        <f t="shared" si="655"/>
        <v>0</v>
      </c>
      <c r="W423" s="150"/>
    </row>
    <row r="424" spans="1:23" x14ac:dyDescent="0.2">
      <c r="A424" s="329"/>
      <c r="B424" s="355" t="s">
        <v>351</v>
      </c>
      <c r="C424" s="189">
        <f t="shared" si="636"/>
        <v>2400</v>
      </c>
      <c r="D424" s="190">
        <f>SUM(D425:D429)</f>
        <v>2400</v>
      </c>
      <c r="E424" s="190">
        <f>SUM(E425:E429)</f>
        <v>900</v>
      </c>
      <c r="F424" s="190">
        <f>SUM(F425:F429)</f>
        <v>0</v>
      </c>
      <c r="G424" s="189">
        <f t="shared" si="650"/>
        <v>811400</v>
      </c>
      <c r="H424" s="190">
        <f>SUM(H425:H429)</f>
        <v>809300</v>
      </c>
      <c r="I424" s="190">
        <f>SUM(I425:I429)</f>
        <v>688500</v>
      </c>
      <c r="J424" s="190">
        <f>SUM(J425:J429)</f>
        <v>2100</v>
      </c>
      <c r="K424" s="189">
        <f t="shared" si="651"/>
        <v>21642.78</v>
      </c>
      <c r="L424" s="190">
        <f>SUM(L425:L429)</f>
        <v>21642.78</v>
      </c>
      <c r="M424" s="190">
        <f>SUM(M425:M429)</f>
        <v>0</v>
      </c>
      <c r="N424" s="190">
        <f>SUM(N425:N429)</f>
        <v>0</v>
      </c>
      <c r="O424" s="189">
        <f t="shared" si="652"/>
        <v>0</v>
      </c>
      <c r="P424" s="190">
        <f>SUM(P425:P429)</f>
        <v>0</v>
      </c>
      <c r="Q424" s="190">
        <f>SUM(Q425:Q429)</f>
        <v>0</v>
      </c>
      <c r="R424" s="190">
        <f>SUM(R425:R429)</f>
        <v>0</v>
      </c>
      <c r="S424" s="189">
        <f t="shared" si="637"/>
        <v>835442.78</v>
      </c>
      <c r="T424" s="190">
        <f>SUM(T425:T429)</f>
        <v>833342.78</v>
      </c>
      <c r="U424" s="190">
        <f>SUM(U425:U429)</f>
        <v>689400</v>
      </c>
      <c r="V424" s="251">
        <f>SUM(V425:V429)</f>
        <v>2100</v>
      </c>
    </row>
    <row r="425" spans="1:23" x14ac:dyDescent="0.2">
      <c r="A425" s="330" t="s">
        <v>68</v>
      </c>
      <c r="B425" s="326" t="s">
        <v>307</v>
      </c>
      <c r="C425" s="191">
        <f t="shared" si="636"/>
        <v>0</v>
      </c>
      <c r="D425" s="192"/>
      <c r="E425" s="192"/>
      <c r="F425" s="240"/>
      <c r="G425" s="191">
        <f t="shared" si="650"/>
        <v>400800</v>
      </c>
      <c r="H425" s="192">
        <v>400800</v>
      </c>
      <c r="I425" s="192">
        <v>390500</v>
      </c>
      <c r="J425" s="240"/>
      <c r="K425" s="191">
        <f t="shared" si="651"/>
        <v>0</v>
      </c>
      <c r="L425" s="192"/>
      <c r="M425" s="192"/>
      <c r="N425" s="240"/>
      <c r="O425" s="191">
        <f t="shared" si="652"/>
        <v>0</v>
      </c>
      <c r="P425" s="192"/>
      <c r="Q425" s="192"/>
      <c r="R425" s="240"/>
      <c r="S425" s="191">
        <f t="shared" si="637"/>
        <v>400800</v>
      </c>
      <c r="T425" s="227">
        <f>D425+H425+L425+P425</f>
        <v>400800</v>
      </c>
      <c r="U425" s="227">
        <f t="shared" ref="U425:U429" si="663">E425+I425+M425+Q425</f>
        <v>390500</v>
      </c>
      <c r="V425" s="228">
        <f t="shared" ref="V425:V429" si="664">F425+J425+N425+R425</f>
        <v>0</v>
      </c>
      <c r="W425" s="150"/>
    </row>
    <row r="426" spans="1:23" x14ac:dyDescent="0.2">
      <c r="A426" s="330" t="s">
        <v>68</v>
      </c>
      <c r="B426" s="326" t="s">
        <v>491</v>
      </c>
      <c r="C426" s="191">
        <f t="shared" si="636"/>
        <v>0</v>
      </c>
      <c r="D426" s="192"/>
      <c r="E426" s="192"/>
      <c r="F426" s="240"/>
      <c r="G426" s="191">
        <f t="shared" si="650"/>
        <v>2100</v>
      </c>
      <c r="H426" s="192"/>
      <c r="I426" s="192"/>
      <c r="J426" s="240">
        <v>2100</v>
      </c>
      <c r="K426" s="191">
        <f t="shared" si="651"/>
        <v>0</v>
      </c>
      <c r="L426" s="192"/>
      <c r="M426" s="192"/>
      <c r="N426" s="240"/>
      <c r="O426" s="191">
        <f t="shared" si="652"/>
        <v>0</v>
      </c>
      <c r="P426" s="192"/>
      <c r="Q426" s="192"/>
      <c r="R426" s="240"/>
      <c r="S426" s="191">
        <f t="shared" si="637"/>
        <v>2100</v>
      </c>
      <c r="T426" s="227">
        <f>D426+H426+L426+P426</f>
        <v>0</v>
      </c>
      <c r="U426" s="227">
        <f t="shared" si="663"/>
        <v>0</v>
      </c>
      <c r="V426" s="228">
        <f t="shared" si="664"/>
        <v>2100</v>
      </c>
      <c r="W426" s="150"/>
    </row>
    <row r="427" spans="1:23" ht="23.25" customHeight="1" x14ac:dyDescent="0.2">
      <c r="A427" s="330" t="s">
        <v>68</v>
      </c>
      <c r="B427" s="326" t="s">
        <v>344</v>
      </c>
      <c r="C427" s="191">
        <f t="shared" si="636"/>
        <v>2400</v>
      </c>
      <c r="D427" s="192">
        <v>2400</v>
      </c>
      <c r="E427" s="192">
        <v>900</v>
      </c>
      <c r="F427" s="240"/>
      <c r="G427" s="191">
        <f t="shared" si="650"/>
        <v>408500</v>
      </c>
      <c r="H427" s="192">
        <v>408500</v>
      </c>
      <c r="I427" s="192">
        <v>298000</v>
      </c>
      <c r="J427" s="240"/>
      <c r="K427" s="191">
        <f t="shared" si="651"/>
        <v>0</v>
      </c>
      <c r="L427" s="192"/>
      <c r="M427" s="192"/>
      <c r="N427" s="240"/>
      <c r="O427" s="191">
        <f t="shared" si="652"/>
        <v>0</v>
      </c>
      <c r="P427" s="192"/>
      <c r="Q427" s="192"/>
      <c r="R427" s="240"/>
      <c r="S427" s="191">
        <f t="shared" si="637"/>
        <v>410900</v>
      </c>
      <c r="T427" s="227">
        <f>D427+H427+L427+P427</f>
        <v>410900</v>
      </c>
      <c r="U427" s="227">
        <f t="shared" si="663"/>
        <v>298900</v>
      </c>
      <c r="V427" s="228">
        <f t="shared" si="664"/>
        <v>0</v>
      </c>
      <c r="W427" s="150"/>
    </row>
    <row r="428" spans="1:23" x14ac:dyDescent="0.2">
      <c r="A428" s="330" t="s">
        <v>68</v>
      </c>
      <c r="B428" s="326" t="s">
        <v>308</v>
      </c>
      <c r="C428" s="191"/>
      <c r="D428" s="192"/>
      <c r="E428" s="192"/>
      <c r="F428" s="240"/>
      <c r="G428" s="191"/>
      <c r="H428" s="192"/>
      <c r="I428" s="192"/>
      <c r="J428" s="240"/>
      <c r="K428" s="191">
        <f t="shared" si="651"/>
        <v>21000</v>
      </c>
      <c r="L428" s="192">
        <v>21000</v>
      </c>
      <c r="M428" s="192"/>
      <c r="N428" s="240"/>
      <c r="O428" s="191"/>
      <c r="P428" s="192"/>
      <c r="Q428" s="192"/>
      <c r="R428" s="240"/>
      <c r="S428" s="191">
        <f t="shared" si="637"/>
        <v>21000</v>
      </c>
      <c r="T428" s="227">
        <f>D428+H428+L428+P428</f>
        <v>21000</v>
      </c>
      <c r="U428" s="227">
        <f t="shared" si="663"/>
        <v>0</v>
      </c>
      <c r="V428" s="228">
        <f t="shared" si="664"/>
        <v>0</v>
      </c>
      <c r="W428" s="150"/>
    </row>
    <row r="429" spans="1:23" x14ac:dyDescent="0.2">
      <c r="A429" s="330" t="s">
        <v>68</v>
      </c>
      <c r="B429" s="326" t="s">
        <v>484</v>
      </c>
      <c r="C429" s="191">
        <f t="shared" ref="C429" si="665">D429+F429</f>
        <v>0</v>
      </c>
      <c r="D429" s="192"/>
      <c r="E429" s="192"/>
      <c r="F429" s="240"/>
      <c r="G429" s="191">
        <f t="shared" ref="G429" si="666">H429+J429</f>
        <v>0</v>
      </c>
      <c r="H429" s="192"/>
      <c r="I429" s="192"/>
      <c r="J429" s="240"/>
      <c r="K429" s="191">
        <f t="shared" ref="K429" si="667">L429+N429</f>
        <v>642.78</v>
      </c>
      <c r="L429" s="192">
        <v>642.78</v>
      </c>
      <c r="M429" s="192"/>
      <c r="N429" s="240"/>
      <c r="O429" s="191">
        <f t="shared" ref="O429" si="668">P429+R429</f>
        <v>0</v>
      </c>
      <c r="P429" s="192"/>
      <c r="Q429" s="192"/>
      <c r="R429" s="240"/>
      <c r="S429" s="191">
        <f t="shared" si="637"/>
        <v>642.78</v>
      </c>
      <c r="T429" s="227">
        <f>D429+H429+L429+P429</f>
        <v>642.78</v>
      </c>
      <c r="U429" s="227">
        <f t="shared" si="663"/>
        <v>0</v>
      </c>
      <c r="V429" s="228">
        <f t="shared" si="664"/>
        <v>0</v>
      </c>
      <c r="W429" s="150"/>
    </row>
    <row r="430" spans="1:23" ht="25.5" x14ac:dyDescent="0.2">
      <c r="A430" s="329"/>
      <c r="B430" s="394" t="s">
        <v>356</v>
      </c>
      <c r="C430" s="189">
        <f t="shared" si="636"/>
        <v>91100</v>
      </c>
      <c r="D430" s="190">
        <f>SUM(D431:D436)</f>
        <v>91100</v>
      </c>
      <c r="E430" s="190">
        <f>SUM(E431:E436)</f>
        <v>76000</v>
      </c>
      <c r="F430" s="190">
        <f>SUM(F431:F436)</f>
        <v>0</v>
      </c>
      <c r="G430" s="189">
        <f t="shared" si="650"/>
        <v>112684</v>
      </c>
      <c r="H430" s="190">
        <f>SUM(H431:H436)</f>
        <v>112684</v>
      </c>
      <c r="I430" s="190">
        <f>SUM(I431:I436)</f>
        <v>108282</v>
      </c>
      <c r="J430" s="190">
        <f>SUM(J431:J436)</f>
        <v>0</v>
      </c>
      <c r="K430" s="189">
        <f t="shared" si="651"/>
        <v>6306.91</v>
      </c>
      <c r="L430" s="190">
        <f>SUM(L431:L436)</f>
        <v>6306.91</v>
      </c>
      <c r="M430" s="190">
        <f>SUM(M431:M436)</f>
        <v>0</v>
      </c>
      <c r="N430" s="190">
        <f>SUM(N431:N436)</f>
        <v>0</v>
      </c>
      <c r="O430" s="189">
        <f t="shared" si="652"/>
        <v>0</v>
      </c>
      <c r="P430" s="190">
        <f>SUM(P431:P436)</f>
        <v>0</v>
      </c>
      <c r="Q430" s="190">
        <f>SUM(Q431:Q436)</f>
        <v>0</v>
      </c>
      <c r="R430" s="190">
        <f>SUM(R431:R436)</f>
        <v>0</v>
      </c>
      <c r="S430" s="189">
        <f t="shared" si="637"/>
        <v>210090.91</v>
      </c>
      <c r="T430" s="190">
        <f>SUM(T431:T436)</f>
        <v>210090.91</v>
      </c>
      <c r="U430" s="190">
        <f>SUM(U431:U436)</f>
        <v>184282</v>
      </c>
      <c r="V430" s="251">
        <f>SUM(V431:V436)</f>
        <v>0</v>
      </c>
    </row>
    <row r="431" spans="1:23" x14ac:dyDescent="0.2">
      <c r="A431" s="330" t="s">
        <v>68</v>
      </c>
      <c r="B431" s="326" t="s">
        <v>307</v>
      </c>
      <c r="C431" s="191">
        <f t="shared" si="636"/>
        <v>0</v>
      </c>
      <c r="D431" s="192"/>
      <c r="E431" s="192"/>
      <c r="F431" s="240"/>
      <c r="G431" s="191">
        <f t="shared" si="650"/>
        <v>112000</v>
      </c>
      <c r="H431" s="192">
        <v>112000</v>
      </c>
      <c r="I431" s="192">
        <v>108200</v>
      </c>
      <c r="J431" s="240"/>
      <c r="K431" s="191">
        <f t="shared" si="651"/>
        <v>0</v>
      </c>
      <c r="L431" s="192"/>
      <c r="M431" s="192"/>
      <c r="N431" s="240"/>
      <c r="O431" s="191">
        <f t="shared" si="652"/>
        <v>0</v>
      </c>
      <c r="P431" s="192"/>
      <c r="Q431" s="192"/>
      <c r="R431" s="240"/>
      <c r="S431" s="191">
        <f t="shared" si="637"/>
        <v>112000</v>
      </c>
      <c r="T431" s="227">
        <f>D431+H431+L431+P431</f>
        <v>112000</v>
      </c>
      <c r="U431" s="227">
        <f t="shared" ref="U431:U434" si="669">E431+I431+M431+Q431</f>
        <v>108200</v>
      </c>
      <c r="V431" s="228">
        <f t="shared" ref="V431:V434" si="670">F431+J431+N431+R431</f>
        <v>0</v>
      </c>
      <c r="W431" s="150"/>
    </row>
    <row r="432" spans="1:23" x14ac:dyDescent="0.2">
      <c r="A432" s="330" t="s">
        <v>68</v>
      </c>
      <c r="B432" s="326" t="s">
        <v>491</v>
      </c>
      <c r="C432" s="191">
        <f t="shared" si="636"/>
        <v>0</v>
      </c>
      <c r="D432" s="192"/>
      <c r="E432" s="192"/>
      <c r="F432" s="240"/>
      <c r="G432" s="191">
        <f t="shared" si="650"/>
        <v>600</v>
      </c>
      <c r="H432" s="192">
        <v>600</v>
      </c>
      <c r="I432" s="192"/>
      <c r="J432" s="240"/>
      <c r="K432" s="191">
        <f t="shared" si="651"/>
        <v>0</v>
      </c>
      <c r="L432" s="192"/>
      <c r="M432" s="192"/>
      <c r="N432" s="240"/>
      <c r="O432" s="191">
        <f t="shared" si="652"/>
        <v>0</v>
      </c>
      <c r="P432" s="192"/>
      <c r="Q432" s="192"/>
      <c r="R432" s="240"/>
      <c r="S432" s="191">
        <f t="shared" si="637"/>
        <v>600</v>
      </c>
      <c r="T432" s="227">
        <f>D432+H432+L432+P432</f>
        <v>600</v>
      </c>
      <c r="U432" s="227">
        <f t="shared" si="669"/>
        <v>0</v>
      </c>
      <c r="V432" s="228">
        <f t="shared" si="670"/>
        <v>0</v>
      </c>
      <c r="W432" s="150"/>
    </row>
    <row r="433" spans="1:23" s="81" customFormat="1" ht="22.5" customHeight="1" x14ac:dyDescent="0.2">
      <c r="A433" s="330" t="s">
        <v>68</v>
      </c>
      <c r="B433" s="363" t="s">
        <v>556</v>
      </c>
      <c r="C433" s="191"/>
      <c r="D433" s="227"/>
      <c r="E433" s="227"/>
      <c r="F433" s="228"/>
      <c r="G433" s="191">
        <f t="shared" si="650"/>
        <v>84</v>
      </c>
      <c r="H433" s="227">
        <v>84</v>
      </c>
      <c r="I433" s="227">
        <v>82</v>
      </c>
      <c r="J433" s="228"/>
      <c r="K433" s="191"/>
      <c r="L433" s="227"/>
      <c r="M433" s="227"/>
      <c r="N433" s="228"/>
      <c r="O433" s="191"/>
      <c r="P433" s="227"/>
      <c r="Q433" s="227"/>
      <c r="R433" s="228"/>
      <c r="S433" s="191">
        <f t="shared" si="637"/>
        <v>84</v>
      </c>
      <c r="T433" s="227">
        <f t="shared" ref="T433" si="671">D433+H433+L433+P433</f>
        <v>84</v>
      </c>
      <c r="U433" s="227">
        <f t="shared" si="669"/>
        <v>82</v>
      </c>
      <c r="V433" s="228">
        <f t="shared" si="670"/>
        <v>0</v>
      </c>
      <c r="W433" s="241"/>
    </row>
    <row r="434" spans="1:23" ht="25.5" x14ac:dyDescent="0.2">
      <c r="A434" s="330" t="s">
        <v>68</v>
      </c>
      <c r="B434" s="326" t="s">
        <v>344</v>
      </c>
      <c r="C434" s="191">
        <f t="shared" si="636"/>
        <v>91100</v>
      </c>
      <c r="D434" s="192">
        <v>91100</v>
      </c>
      <c r="E434" s="192">
        <v>76000</v>
      </c>
      <c r="F434" s="240"/>
      <c r="G434" s="191">
        <f>H434+J434</f>
        <v>0</v>
      </c>
      <c r="H434" s="192"/>
      <c r="I434" s="192"/>
      <c r="J434" s="240"/>
      <c r="K434" s="191">
        <f t="shared" si="651"/>
        <v>0</v>
      </c>
      <c r="L434" s="192"/>
      <c r="M434" s="192"/>
      <c r="N434" s="240"/>
      <c r="O434" s="191">
        <f t="shared" si="652"/>
        <v>0</v>
      </c>
      <c r="P434" s="192"/>
      <c r="Q434" s="192"/>
      <c r="R434" s="240"/>
      <c r="S434" s="191">
        <f t="shared" si="637"/>
        <v>91100</v>
      </c>
      <c r="T434" s="227">
        <f>D434+H434+L434+P434</f>
        <v>91100</v>
      </c>
      <c r="U434" s="227">
        <f t="shared" si="669"/>
        <v>76000</v>
      </c>
      <c r="V434" s="240">
        <f t="shared" si="670"/>
        <v>0</v>
      </c>
    </row>
    <row r="435" spans="1:23" x14ac:dyDescent="0.2">
      <c r="A435" s="330" t="s">
        <v>68</v>
      </c>
      <c r="B435" s="326" t="s">
        <v>308</v>
      </c>
      <c r="C435" s="191"/>
      <c r="D435" s="192"/>
      <c r="E435" s="192"/>
      <c r="F435" s="240"/>
      <c r="G435" s="191"/>
      <c r="H435" s="192"/>
      <c r="I435" s="192"/>
      <c r="J435" s="240"/>
      <c r="K435" s="191">
        <f t="shared" si="651"/>
        <v>5800</v>
      </c>
      <c r="L435" s="192">
        <v>5800</v>
      </c>
      <c r="M435" s="192"/>
      <c r="N435" s="240"/>
      <c r="O435" s="191"/>
      <c r="P435" s="192"/>
      <c r="Q435" s="192"/>
      <c r="R435" s="240"/>
      <c r="S435" s="191">
        <f t="shared" ref="S435:S436" si="672">T435+V435</f>
        <v>5800</v>
      </c>
      <c r="T435" s="227">
        <f>D435+H435+L435+P435</f>
        <v>5800</v>
      </c>
      <c r="U435" s="227">
        <f t="shared" ref="U435:U436" si="673">E435+I435+M435+Q435</f>
        <v>0</v>
      </c>
      <c r="V435" s="228">
        <f t="shared" ref="V435:V436" si="674">F435+J435+N435+R435</f>
        <v>0</v>
      </c>
      <c r="W435" s="150"/>
    </row>
    <row r="436" spans="1:23" x14ac:dyDescent="0.2">
      <c r="A436" s="330" t="s">
        <v>68</v>
      </c>
      <c r="B436" s="326" t="s">
        <v>484</v>
      </c>
      <c r="C436" s="191">
        <f t="shared" ref="C436" si="675">D436+F436</f>
        <v>0</v>
      </c>
      <c r="D436" s="192"/>
      <c r="E436" s="192"/>
      <c r="F436" s="240"/>
      <c r="G436" s="191">
        <f t="shared" ref="G436" si="676">H436+J436</f>
        <v>0</v>
      </c>
      <c r="H436" s="192"/>
      <c r="I436" s="192"/>
      <c r="J436" s="240"/>
      <c r="K436" s="191">
        <f t="shared" ref="K436" si="677">L436+N436</f>
        <v>506.91</v>
      </c>
      <c r="L436" s="192">
        <v>506.91</v>
      </c>
      <c r="M436" s="192"/>
      <c r="N436" s="240"/>
      <c r="O436" s="191">
        <f t="shared" ref="O436" si="678">P436+R436</f>
        <v>0</v>
      </c>
      <c r="P436" s="192"/>
      <c r="Q436" s="192"/>
      <c r="R436" s="240"/>
      <c r="S436" s="191">
        <f t="shared" si="672"/>
        <v>506.91</v>
      </c>
      <c r="T436" s="227">
        <f>D436+H436+L436+P436</f>
        <v>506.91</v>
      </c>
      <c r="U436" s="227">
        <f t="shared" si="673"/>
        <v>0</v>
      </c>
      <c r="V436" s="228">
        <f t="shared" si="674"/>
        <v>0</v>
      </c>
      <c r="W436" s="150"/>
    </row>
    <row r="437" spans="1:23" x14ac:dyDescent="0.2">
      <c r="A437" s="329"/>
      <c r="B437" s="394" t="s">
        <v>355</v>
      </c>
      <c r="C437" s="189">
        <f t="shared" si="636"/>
        <v>457800</v>
      </c>
      <c r="D437" s="190">
        <f>SUM(D438:D441)</f>
        <v>457800</v>
      </c>
      <c r="E437" s="190">
        <f>SUM(E438:E441)</f>
        <v>392300</v>
      </c>
      <c r="F437" s="190">
        <f>SUM(F438:F441)</f>
        <v>0</v>
      </c>
      <c r="G437" s="189">
        <f t="shared" si="650"/>
        <v>410600</v>
      </c>
      <c r="H437" s="190">
        <f>SUM(H438:H441)</f>
        <v>410600</v>
      </c>
      <c r="I437" s="190">
        <f>SUM(I438:I441)</f>
        <v>380000</v>
      </c>
      <c r="J437" s="190">
        <f>SUM(J438:J441)</f>
        <v>0</v>
      </c>
      <c r="K437" s="189">
        <f t="shared" si="651"/>
        <v>73049.27</v>
      </c>
      <c r="L437" s="190">
        <f>SUM(L438:L441)</f>
        <v>73049.27</v>
      </c>
      <c r="M437" s="190">
        <f>SUM(M438:M441)</f>
        <v>0</v>
      </c>
      <c r="N437" s="190">
        <f>SUM(N438:N441)</f>
        <v>0</v>
      </c>
      <c r="O437" s="189">
        <f t="shared" si="652"/>
        <v>0</v>
      </c>
      <c r="P437" s="190">
        <f>SUM(P438:P441)</f>
        <v>0</v>
      </c>
      <c r="Q437" s="190">
        <f>SUM(Q438:Q441)</f>
        <v>0</v>
      </c>
      <c r="R437" s="190">
        <f>SUM(R438:R441)</f>
        <v>0</v>
      </c>
      <c r="S437" s="189">
        <f t="shared" si="637"/>
        <v>941449.27</v>
      </c>
      <c r="T437" s="190">
        <f>SUM(T438:T441)</f>
        <v>941449.27</v>
      </c>
      <c r="U437" s="190">
        <f>SUM(U438:U441)</f>
        <v>772300</v>
      </c>
      <c r="V437" s="251">
        <f>SUM(V438:V441)</f>
        <v>0</v>
      </c>
    </row>
    <row r="438" spans="1:23" x14ac:dyDescent="0.2">
      <c r="A438" s="330" t="s">
        <v>68</v>
      </c>
      <c r="B438" s="326" t="s">
        <v>307</v>
      </c>
      <c r="C438" s="191">
        <f t="shared" si="636"/>
        <v>0</v>
      </c>
      <c r="D438" s="192"/>
      <c r="E438" s="192"/>
      <c r="F438" s="240"/>
      <c r="G438" s="191">
        <f t="shared" si="650"/>
        <v>410600</v>
      </c>
      <c r="H438" s="192">
        <v>410600</v>
      </c>
      <c r="I438" s="192">
        <v>380000</v>
      </c>
      <c r="J438" s="240"/>
      <c r="K438" s="191">
        <f t="shared" si="651"/>
        <v>0</v>
      </c>
      <c r="L438" s="192"/>
      <c r="M438" s="192"/>
      <c r="N438" s="240"/>
      <c r="O438" s="191">
        <f t="shared" si="652"/>
        <v>0</v>
      </c>
      <c r="P438" s="192"/>
      <c r="Q438" s="192"/>
      <c r="R438" s="240"/>
      <c r="S438" s="191">
        <f t="shared" ref="S438:S441" si="679">T438+V438</f>
        <v>410600</v>
      </c>
      <c r="T438" s="227">
        <f t="shared" ref="T438:T450" si="680">D438+H438+L438+P438</f>
        <v>410600</v>
      </c>
      <c r="U438" s="227">
        <f t="shared" ref="U438:U442" si="681">E438+I438+M438+Q438</f>
        <v>380000</v>
      </c>
      <c r="V438" s="228">
        <f t="shared" ref="V438:V442" si="682">F438+J438+N438+R438</f>
        <v>0</v>
      </c>
      <c r="W438" s="150"/>
    </row>
    <row r="439" spans="1:23" ht="25.5" x14ac:dyDescent="0.2">
      <c r="A439" s="330" t="s">
        <v>68</v>
      </c>
      <c r="B439" s="326" t="s">
        <v>344</v>
      </c>
      <c r="C439" s="191">
        <f t="shared" si="636"/>
        <v>457800</v>
      </c>
      <c r="D439" s="192">
        <v>457800</v>
      </c>
      <c r="E439" s="192">
        <v>392300</v>
      </c>
      <c r="F439" s="240"/>
      <c r="G439" s="191">
        <f t="shared" si="650"/>
        <v>0</v>
      </c>
      <c r="H439" s="192"/>
      <c r="I439" s="192"/>
      <c r="J439" s="240"/>
      <c r="K439" s="191">
        <f t="shared" si="651"/>
        <v>0</v>
      </c>
      <c r="L439" s="192"/>
      <c r="M439" s="192"/>
      <c r="N439" s="240"/>
      <c r="O439" s="191">
        <f t="shared" si="652"/>
        <v>0</v>
      </c>
      <c r="P439" s="192"/>
      <c r="Q439" s="192"/>
      <c r="R439" s="240"/>
      <c r="S439" s="191">
        <f t="shared" si="679"/>
        <v>457800</v>
      </c>
      <c r="T439" s="227">
        <f t="shared" si="680"/>
        <v>457800</v>
      </c>
      <c r="U439" s="227">
        <f t="shared" si="681"/>
        <v>392300</v>
      </c>
      <c r="V439" s="228">
        <f t="shared" si="682"/>
        <v>0</v>
      </c>
      <c r="W439" s="150"/>
    </row>
    <row r="440" spans="1:23" x14ac:dyDescent="0.2">
      <c r="A440" s="330" t="s">
        <v>68</v>
      </c>
      <c r="B440" s="326" t="s">
        <v>308</v>
      </c>
      <c r="C440" s="191"/>
      <c r="D440" s="192"/>
      <c r="E440" s="192"/>
      <c r="F440" s="240"/>
      <c r="G440" s="191"/>
      <c r="H440" s="192"/>
      <c r="I440" s="192"/>
      <c r="J440" s="240"/>
      <c r="K440" s="191">
        <f t="shared" si="651"/>
        <v>69000</v>
      </c>
      <c r="L440" s="192">
        <v>69000</v>
      </c>
      <c r="M440" s="192"/>
      <c r="N440" s="240"/>
      <c r="O440" s="191"/>
      <c r="P440" s="192"/>
      <c r="Q440" s="192"/>
      <c r="R440" s="240"/>
      <c r="S440" s="191">
        <f t="shared" si="679"/>
        <v>69000</v>
      </c>
      <c r="T440" s="227">
        <f t="shared" si="680"/>
        <v>69000</v>
      </c>
      <c r="U440" s="227">
        <f t="shared" si="681"/>
        <v>0</v>
      </c>
      <c r="V440" s="228">
        <f t="shared" si="682"/>
        <v>0</v>
      </c>
      <c r="W440" s="150"/>
    </row>
    <row r="441" spans="1:23" x14ac:dyDescent="0.2">
      <c r="A441" s="330" t="s">
        <v>68</v>
      </c>
      <c r="B441" s="326" t="s">
        <v>484</v>
      </c>
      <c r="C441" s="191">
        <f t="shared" ref="C441" si="683">D441+F441</f>
        <v>0</v>
      </c>
      <c r="D441" s="192"/>
      <c r="E441" s="192"/>
      <c r="F441" s="240"/>
      <c r="G441" s="191">
        <f t="shared" ref="G441" si="684">H441+J441</f>
        <v>0</v>
      </c>
      <c r="H441" s="192"/>
      <c r="I441" s="192"/>
      <c r="J441" s="240"/>
      <c r="K441" s="191">
        <f t="shared" ref="K441" si="685">L441+N441</f>
        <v>4049.27</v>
      </c>
      <c r="L441" s="192">
        <v>4049.27</v>
      </c>
      <c r="M441" s="192"/>
      <c r="N441" s="240"/>
      <c r="O441" s="191">
        <f t="shared" ref="O441" si="686">P441+R441</f>
        <v>0</v>
      </c>
      <c r="P441" s="192"/>
      <c r="Q441" s="192"/>
      <c r="R441" s="240"/>
      <c r="S441" s="191">
        <f t="shared" si="679"/>
        <v>4049.27</v>
      </c>
      <c r="T441" s="227">
        <f t="shared" si="680"/>
        <v>4049.27</v>
      </c>
      <c r="U441" s="227">
        <f t="shared" si="681"/>
        <v>0</v>
      </c>
      <c r="V441" s="228">
        <f t="shared" si="682"/>
        <v>0</v>
      </c>
      <c r="W441" s="150"/>
    </row>
    <row r="442" spans="1:23" x14ac:dyDescent="0.2">
      <c r="A442" s="336"/>
      <c r="B442" s="355" t="s">
        <v>354</v>
      </c>
      <c r="C442" s="189">
        <f t="shared" si="636"/>
        <v>446100</v>
      </c>
      <c r="D442" s="190">
        <f>SUM(D443:D446)</f>
        <v>446100</v>
      </c>
      <c r="E442" s="190">
        <f>SUM(E443:E446)</f>
        <v>393000</v>
      </c>
      <c r="F442" s="251">
        <f>SUM(F443:F446)</f>
        <v>0</v>
      </c>
      <c r="G442" s="381">
        <f t="shared" si="650"/>
        <v>347100</v>
      </c>
      <c r="H442" s="190">
        <f>SUM(H443:H446)</f>
        <v>347100</v>
      </c>
      <c r="I442" s="190">
        <f>SUM(I443:I446)</f>
        <v>330000</v>
      </c>
      <c r="J442" s="190">
        <f>SUM(J443:J446)</f>
        <v>0</v>
      </c>
      <c r="K442" s="189">
        <f t="shared" si="651"/>
        <v>58746.49</v>
      </c>
      <c r="L442" s="190">
        <f>SUM(L443:L446)</f>
        <v>58746.49</v>
      </c>
      <c r="M442" s="190">
        <f>SUM(M443:M446)</f>
        <v>0</v>
      </c>
      <c r="N442" s="251">
        <f>SUM(N443:N446)</f>
        <v>0</v>
      </c>
      <c r="O442" s="381">
        <f t="shared" si="652"/>
        <v>0</v>
      </c>
      <c r="P442" s="190">
        <f>SUM(P443:P446)</f>
        <v>0</v>
      </c>
      <c r="Q442" s="190">
        <f>SUM(Q443:Q446)</f>
        <v>0</v>
      </c>
      <c r="R442" s="190">
        <f>SUM(R443:R446)</f>
        <v>0</v>
      </c>
      <c r="S442" s="189">
        <f t="shared" si="637"/>
        <v>851946.49</v>
      </c>
      <c r="T442" s="245">
        <f t="shared" si="680"/>
        <v>851946.49</v>
      </c>
      <c r="U442" s="245">
        <f t="shared" si="681"/>
        <v>723000</v>
      </c>
      <c r="V442" s="377">
        <f t="shared" si="682"/>
        <v>0</v>
      </c>
      <c r="W442" s="150"/>
    </row>
    <row r="443" spans="1:23" x14ac:dyDescent="0.2">
      <c r="A443" s="336" t="s">
        <v>68</v>
      </c>
      <c r="B443" s="326" t="s">
        <v>307</v>
      </c>
      <c r="C443" s="191">
        <f t="shared" si="636"/>
        <v>0</v>
      </c>
      <c r="D443" s="192"/>
      <c r="E443" s="192"/>
      <c r="F443" s="240"/>
      <c r="G443" s="191">
        <f t="shared" si="650"/>
        <v>347100</v>
      </c>
      <c r="H443" s="192">
        <v>347100</v>
      </c>
      <c r="I443" s="192">
        <v>330000</v>
      </c>
      <c r="J443" s="253"/>
      <c r="K443" s="191">
        <f t="shared" si="651"/>
        <v>0</v>
      </c>
      <c r="L443" s="192"/>
      <c r="M443" s="192"/>
      <c r="N443" s="240"/>
      <c r="O443" s="191">
        <f t="shared" si="652"/>
        <v>0</v>
      </c>
      <c r="P443" s="192"/>
      <c r="Q443" s="192"/>
      <c r="R443" s="253"/>
      <c r="S443" s="191">
        <f t="shared" ref="S443:S446" si="687">T443+V443</f>
        <v>347100</v>
      </c>
      <c r="T443" s="227">
        <f t="shared" si="680"/>
        <v>347100</v>
      </c>
      <c r="U443" s="227">
        <f t="shared" ref="U443:U447" si="688">E443+I443+M443+Q443</f>
        <v>330000</v>
      </c>
      <c r="V443" s="228">
        <f t="shared" ref="V443:V447" si="689">F443+J443+N443+R443</f>
        <v>0</v>
      </c>
      <c r="W443" s="150"/>
    </row>
    <row r="444" spans="1:23" ht="25.5" x14ac:dyDescent="0.2">
      <c r="A444" s="330" t="s">
        <v>68</v>
      </c>
      <c r="B444" s="326" t="s">
        <v>344</v>
      </c>
      <c r="C444" s="191">
        <f t="shared" si="636"/>
        <v>446100</v>
      </c>
      <c r="D444" s="192">
        <v>446100</v>
      </c>
      <c r="E444" s="192">
        <v>393000</v>
      </c>
      <c r="F444" s="240"/>
      <c r="G444" s="191">
        <f t="shared" si="650"/>
        <v>0</v>
      </c>
      <c r="H444" s="192"/>
      <c r="I444" s="192"/>
      <c r="J444" s="253"/>
      <c r="K444" s="191">
        <f t="shared" si="651"/>
        <v>0</v>
      </c>
      <c r="L444" s="192"/>
      <c r="M444" s="192"/>
      <c r="N444" s="240"/>
      <c r="O444" s="191">
        <f t="shared" si="652"/>
        <v>0</v>
      </c>
      <c r="P444" s="192"/>
      <c r="Q444" s="192"/>
      <c r="R444" s="253"/>
      <c r="S444" s="191">
        <f t="shared" si="687"/>
        <v>446100</v>
      </c>
      <c r="T444" s="227">
        <f t="shared" si="680"/>
        <v>446100</v>
      </c>
      <c r="U444" s="227">
        <f t="shared" si="688"/>
        <v>393000</v>
      </c>
      <c r="V444" s="228">
        <f t="shared" si="689"/>
        <v>0</v>
      </c>
      <c r="W444" s="150"/>
    </row>
    <row r="445" spans="1:23" x14ac:dyDescent="0.2">
      <c r="A445" s="330" t="s">
        <v>68</v>
      </c>
      <c r="B445" s="326" t="s">
        <v>308</v>
      </c>
      <c r="C445" s="191"/>
      <c r="D445" s="192"/>
      <c r="E445" s="192"/>
      <c r="F445" s="240"/>
      <c r="G445" s="191"/>
      <c r="H445" s="192"/>
      <c r="I445" s="192"/>
      <c r="J445" s="240"/>
      <c r="K445" s="191">
        <f t="shared" si="651"/>
        <v>55000</v>
      </c>
      <c r="L445" s="192">
        <v>55000</v>
      </c>
      <c r="M445" s="192"/>
      <c r="N445" s="240"/>
      <c r="O445" s="191"/>
      <c r="P445" s="192"/>
      <c r="Q445" s="192"/>
      <c r="R445" s="240"/>
      <c r="S445" s="191">
        <f t="shared" si="687"/>
        <v>55000</v>
      </c>
      <c r="T445" s="227">
        <f t="shared" si="680"/>
        <v>55000</v>
      </c>
      <c r="U445" s="227">
        <f t="shared" si="688"/>
        <v>0</v>
      </c>
      <c r="V445" s="228">
        <f t="shared" si="689"/>
        <v>0</v>
      </c>
      <c r="W445" s="150"/>
    </row>
    <row r="446" spans="1:23" x14ac:dyDescent="0.2">
      <c r="A446" s="330" t="s">
        <v>68</v>
      </c>
      <c r="B446" s="326" t="s">
        <v>484</v>
      </c>
      <c r="C446" s="191">
        <f t="shared" ref="C446" si="690">D446+F446</f>
        <v>0</v>
      </c>
      <c r="D446" s="192"/>
      <c r="E446" s="192"/>
      <c r="F446" s="240"/>
      <c r="G446" s="191">
        <f t="shared" ref="G446" si="691">H446+J446</f>
        <v>0</v>
      </c>
      <c r="H446" s="192"/>
      <c r="I446" s="192"/>
      <c r="J446" s="240"/>
      <c r="K446" s="191">
        <f t="shared" ref="K446" si="692">L446+N446</f>
        <v>3746.49</v>
      </c>
      <c r="L446" s="192">
        <v>3746.49</v>
      </c>
      <c r="M446" s="192"/>
      <c r="N446" s="240"/>
      <c r="O446" s="191">
        <f t="shared" ref="O446" si="693">P446+R446</f>
        <v>0</v>
      </c>
      <c r="P446" s="192"/>
      <c r="Q446" s="192"/>
      <c r="R446" s="240"/>
      <c r="S446" s="191">
        <f t="shared" si="687"/>
        <v>3746.49</v>
      </c>
      <c r="T446" s="227">
        <f t="shared" si="680"/>
        <v>3746.49</v>
      </c>
      <c r="U446" s="227">
        <f t="shared" si="688"/>
        <v>0</v>
      </c>
      <c r="V446" s="228">
        <f t="shared" si="689"/>
        <v>0</v>
      </c>
      <c r="W446" s="150"/>
    </row>
    <row r="447" spans="1:23" ht="13.5" customHeight="1" x14ac:dyDescent="0.2">
      <c r="A447" s="395"/>
      <c r="B447" s="355" t="s">
        <v>353</v>
      </c>
      <c r="C447" s="189">
        <f t="shared" si="636"/>
        <v>126200</v>
      </c>
      <c r="D447" s="190">
        <f>SUM(D448:D450)</f>
        <v>126200</v>
      </c>
      <c r="E447" s="190">
        <f>SUM(E448:E450)</f>
        <v>110000</v>
      </c>
      <c r="F447" s="251">
        <f>SUM(F448:F450)</f>
        <v>0</v>
      </c>
      <c r="G447" s="381">
        <f t="shared" si="650"/>
        <v>103500</v>
      </c>
      <c r="H447" s="190">
        <f>SUM(H448:H450)</f>
        <v>103500</v>
      </c>
      <c r="I447" s="190">
        <f>SUM(I448:I450)</f>
        <v>100400</v>
      </c>
      <c r="J447" s="190">
        <f>SUM(J448:J450)</f>
        <v>0</v>
      </c>
      <c r="K447" s="189">
        <f t="shared" si="651"/>
        <v>12900</v>
      </c>
      <c r="L447" s="190">
        <f>SUM(L448:L450)</f>
        <v>12900</v>
      </c>
      <c r="M447" s="190">
        <f>SUM(M448:M450)</f>
        <v>0</v>
      </c>
      <c r="N447" s="251">
        <f>SUM(N448:N450)</f>
        <v>0</v>
      </c>
      <c r="O447" s="381">
        <f t="shared" si="652"/>
        <v>0</v>
      </c>
      <c r="P447" s="190">
        <f>SUM(P448:P450)</f>
        <v>0</v>
      </c>
      <c r="Q447" s="190">
        <f>SUM(Q448:Q450)</f>
        <v>0</v>
      </c>
      <c r="R447" s="190">
        <f>SUM(R448:R450)</f>
        <v>0</v>
      </c>
      <c r="S447" s="189">
        <f t="shared" si="637"/>
        <v>242600</v>
      </c>
      <c r="T447" s="245">
        <f t="shared" si="680"/>
        <v>242600</v>
      </c>
      <c r="U447" s="245">
        <f t="shared" si="688"/>
        <v>210400</v>
      </c>
      <c r="V447" s="377">
        <f t="shared" si="689"/>
        <v>0</v>
      </c>
      <c r="W447" s="150"/>
    </row>
    <row r="448" spans="1:23" x14ac:dyDescent="0.2">
      <c r="A448" s="336" t="s">
        <v>68</v>
      </c>
      <c r="B448" s="326" t="s">
        <v>307</v>
      </c>
      <c r="C448" s="191">
        <f t="shared" si="636"/>
        <v>0</v>
      </c>
      <c r="D448" s="192"/>
      <c r="E448" s="192"/>
      <c r="F448" s="240"/>
      <c r="G448" s="191">
        <f t="shared" si="650"/>
        <v>103500</v>
      </c>
      <c r="H448" s="192">
        <v>103500</v>
      </c>
      <c r="I448" s="192">
        <v>100400</v>
      </c>
      <c r="J448" s="253"/>
      <c r="K448" s="191">
        <f t="shared" si="651"/>
        <v>0</v>
      </c>
      <c r="L448" s="192"/>
      <c r="M448" s="192"/>
      <c r="N448" s="240"/>
      <c r="O448" s="191">
        <f t="shared" si="652"/>
        <v>0</v>
      </c>
      <c r="P448" s="192"/>
      <c r="Q448" s="192"/>
      <c r="R448" s="253"/>
      <c r="S448" s="191">
        <f t="shared" ref="S448:S450" si="694">T448+V448</f>
        <v>103500</v>
      </c>
      <c r="T448" s="227">
        <f t="shared" si="680"/>
        <v>103500</v>
      </c>
      <c r="U448" s="227">
        <f t="shared" ref="U448:U450" si="695">E448+I448+M448+Q448</f>
        <v>100400</v>
      </c>
      <c r="V448" s="240">
        <f t="shared" ref="V448:V450" si="696">F448+J448+N448+R448</f>
        <v>0</v>
      </c>
    </row>
    <row r="449" spans="1:23" ht="25.5" x14ac:dyDescent="0.2">
      <c r="A449" s="330" t="s">
        <v>68</v>
      </c>
      <c r="B449" s="326" t="s">
        <v>344</v>
      </c>
      <c r="C449" s="191">
        <f t="shared" si="636"/>
        <v>126200</v>
      </c>
      <c r="D449" s="192">
        <v>126200</v>
      </c>
      <c r="E449" s="192">
        <v>110000</v>
      </c>
      <c r="F449" s="240"/>
      <c r="G449" s="191">
        <f t="shared" si="650"/>
        <v>0</v>
      </c>
      <c r="H449" s="192"/>
      <c r="I449" s="192"/>
      <c r="J449" s="253"/>
      <c r="K449" s="191">
        <f t="shared" si="651"/>
        <v>0</v>
      </c>
      <c r="L449" s="192"/>
      <c r="M449" s="192"/>
      <c r="N449" s="240"/>
      <c r="O449" s="191">
        <f t="shared" si="652"/>
        <v>0</v>
      </c>
      <c r="P449" s="192"/>
      <c r="Q449" s="192"/>
      <c r="R449" s="253"/>
      <c r="S449" s="191">
        <f t="shared" si="694"/>
        <v>126200</v>
      </c>
      <c r="T449" s="227">
        <f t="shared" si="680"/>
        <v>126200</v>
      </c>
      <c r="U449" s="227">
        <f t="shared" si="695"/>
        <v>110000</v>
      </c>
      <c r="V449" s="228">
        <f t="shared" si="696"/>
        <v>0</v>
      </c>
      <c r="W449" s="150"/>
    </row>
    <row r="450" spans="1:23" x14ac:dyDescent="0.2">
      <c r="A450" s="330" t="s">
        <v>68</v>
      </c>
      <c r="B450" s="326" t="s">
        <v>308</v>
      </c>
      <c r="C450" s="191">
        <f t="shared" si="636"/>
        <v>0</v>
      </c>
      <c r="D450" s="192"/>
      <c r="E450" s="192"/>
      <c r="F450" s="240"/>
      <c r="G450" s="191">
        <f t="shared" si="650"/>
        <v>0</v>
      </c>
      <c r="H450" s="192"/>
      <c r="I450" s="192"/>
      <c r="J450" s="253"/>
      <c r="K450" s="191">
        <f t="shared" si="651"/>
        <v>12900</v>
      </c>
      <c r="L450" s="192">
        <v>12900</v>
      </c>
      <c r="M450" s="192"/>
      <c r="N450" s="240"/>
      <c r="O450" s="191">
        <f t="shared" si="652"/>
        <v>0</v>
      </c>
      <c r="P450" s="192"/>
      <c r="Q450" s="192"/>
      <c r="R450" s="253"/>
      <c r="S450" s="191">
        <f t="shared" si="694"/>
        <v>12900</v>
      </c>
      <c r="T450" s="227">
        <f t="shared" si="680"/>
        <v>12900</v>
      </c>
      <c r="U450" s="227">
        <f t="shared" si="695"/>
        <v>0</v>
      </c>
      <c r="V450" s="240">
        <f t="shared" si="696"/>
        <v>0</v>
      </c>
    </row>
    <row r="451" spans="1:23" ht="17.25" customHeight="1" x14ac:dyDescent="0.2">
      <c r="A451" s="336"/>
      <c r="B451" s="355" t="s">
        <v>352</v>
      </c>
      <c r="C451" s="189">
        <f t="shared" si="636"/>
        <v>162600</v>
      </c>
      <c r="D451" s="190">
        <f>SUM(D452:D454)</f>
        <v>162600</v>
      </c>
      <c r="E451" s="190">
        <f>SUM(E452:E454)</f>
        <v>144200</v>
      </c>
      <c r="F451" s="190">
        <f>SUM(F452:F454)</f>
        <v>0</v>
      </c>
      <c r="G451" s="189">
        <f t="shared" si="650"/>
        <v>126900</v>
      </c>
      <c r="H451" s="190">
        <f>SUM(H452:H454)</f>
        <v>126900</v>
      </c>
      <c r="I451" s="190">
        <f>SUM(I452:I454)</f>
        <v>120200</v>
      </c>
      <c r="J451" s="190">
        <f>SUM(J452:J454)</f>
        <v>0</v>
      </c>
      <c r="K451" s="189">
        <f t="shared" si="651"/>
        <v>22200</v>
      </c>
      <c r="L451" s="190">
        <f>SUM(L452:L454)</f>
        <v>22200</v>
      </c>
      <c r="M451" s="190">
        <f>SUM(M452:M454)</f>
        <v>0</v>
      </c>
      <c r="N451" s="190">
        <f>SUM(N452:N454)</f>
        <v>0</v>
      </c>
      <c r="O451" s="189">
        <f t="shared" si="652"/>
        <v>0</v>
      </c>
      <c r="P451" s="190">
        <f>SUM(P452:P454)</f>
        <v>0</v>
      </c>
      <c r="Q451" s="190">
        <f>SUM(Q452:Q454)</f>
        <v>0</v>
      </c>
      <c r="R451" s="190">
        <f>SUM(R452:R454)</f>
        <v>0</v>
      </c>
      <c r="S451" s="189">
        <f t="shared" si="637"/>
        <v>311700</v>
      </c>
      <c r="T451" s="190">
        <f>SUM(T452:T454)</f>
        <v>311700</v>
      </c>
      <c r="U451" s="190">
        <f>SUM(U452:U454)</f>
        <v>264400</v>
      </c>
      <c r="V451" s="251">
        <f>SUM(V452:V454)</f>
        <v>0</v>
      </c>
    </row>
    <row r="452" spans="1:23" x14ac:dyDescent="0.2">
      <c r="A452" s="330" t="s">
        <v>68</v>
      </c>
      <c r="B452" s="326" t="s">
        <v>307</v>
      </c>
      <c r="C452" s="191">
        <f t="shared" si="636"/>
        <v>0</v>
      </c>
      <c r="D452" s="192"/>
      <c r="E452" s="192"/>
      <c r="F452" s="240"/>
      <c r="G452" s="191">
        <f t="shared" si="650"/>
        <v>126900</v>
      </c>
      <c r="H452" s="192">
        <v>126900</v>
      </c>
      <c r="I452" s="192">
        <v>120200</v>
      </c>
      <c r="J452" s="240"/>
      <c r="K452" s="191">
        <f t="shared" si="651"/>
        <v>0</v>
      </c>
      <c r="L452" s="192"/>
      <c r="M452" s="192"/>
      <c r="N452" s="240"/>
      <c r="O452" s="191">
        <f t="shared" si="652"/>
        <v>0</v>
      </c>
      <c r="P452" s="192"/>
      <c r="Q452" s="192"/>
      <c r="R452" s="240"/>
      <c r="S452" s="191">
        <f t="shared" ref="S452:S454" si="697">T452+V452</f>
        <v>126900</v>
      </c>
      <c r="T452" s="227">
        <f>D452+H452+L452+P452</f>
        <v>126900</v>
      </c>
      <c r="U452" s="227">
        <f t="shared" ref="U452:U454" si="698">E452+I452+M452+Q452</f>
        <v>120200</v>
      </c>
      <c r="V452" s="240">
        <f t="shared" ref="V452:V454" si="699">F452+J452+N452+R452</f>
        <v>0</v>
      </c>
    </row>
    <row r="453" spans="1:23" ht="25.5" x14ac:dyDescent="0.2">
      <c r="A453" s="330" t="s">
        <v>68</v>
      </c>
      <c r="B453" s="326" t="s">
        <v>344</v>
      </c>
      <c r="C453" s="191">
        <f t="shared" si="636"/>
        <v>162600</v>
      </c>
      <c r="D453" s="192">
        <v>162600</v>
      </c>
      <c r="E453" s="192">
        <v>144200</v>
      </c>
      <c r="F453" s="240"/>
      <c r="G453" s="191">
        <f t="shared" si="650"/>
        <v>0</v>
      </c>
      <c r="H453" s="192"/>
      <c r="I453" s="192"/>
      <c r="J453" s="240"/>
      <c r="K453" s="191">
        <f t="shared" si="651"/>
        <v>0</v>
      </c>
      <c r="L453" s="192"/>
      <c r="M453" s="192"/>
      <c r="N453" s="240"/>
      <c r="O453" s="191">
        <f t="shared" si="652"/>
        <v>0</v>
      </c>
      <c r="P453" s="192"/>
      <c r="Q453" s="192"/>
      <c r="R453" s="240"/>
      <c r="S453" s="191">
        <f t="shared" si="697"/>
        <v>162600</v>
      </c>
      <c r="T453" s="227">
        <f>D453+H453+L453+P453</f>
        <v>162600</v>
      </c>
      <c r="U453" s="227">
        <f t="shared" si="698"/>
        <v>144200</v>
      </c>
      <c r="V453" s="228">
        <f t="shared" si="699"/>
        <v>0</v>
      </c>
      <c r="W453" s="150"/>
    </row>
    <row r="454" spans="1:23" x14ac:dyDescent="0.2">
      <c r="A454" s="330" t="s">
        <v>68</v>
      </c>
      <c r="B454" s="326" t="s">
        <v>308</v>
      </c>
      <c r="C454" s="191">
        <f t="shared" si="636"/>
        <v>0</v>
      </c>
      <c r="D454" s="192"/>
      <c r="E454" s="192"/>
      <c r="F454" s="240"/>
      <c r="G454" s="191">
        <f t="shared" si="650"/>
        <v>0</v>
      </c>
      <c r="H454" s="192"/>
      <c r="I454" s="192"/>
      <c r="J454" s="240"/>
      <c r="K454" s="191">
        <f t="shared" si="651"/>
        <v>22200</v>
      </c>
      <c r="L454" s="192">
        <v>22200</v>
      </c>
      <c r="M454" s="192"/>
      <c r="N454" s="240"/>
      <c r="O454" s="191">
        <f t="shared" si="652"/>
        <v>0</v>
      </c>
      <c r="P454" s="192"/>
      <c r="Q454" s="192"/>
      <c r="R454" s="240"/>
      <c r="S454" s="191">
        <f t="shared" si="697"/>
        <v>22200</v>
      </c>
      <c r="T454" s="227">
        <f>D454+H454+L454+P454</f>
        <v>22200</v>
      </c>
      <c r="U454" s="227">
        <f t="shared" si="698"/>
        <v>0</v>
      </c>
      <c r="V454" s="240">
        <f t="shared" si="699"/>
        <v>0</v>
      </c>
    </row>
    <row r="455" spans="1:23" x14ac:dyDescent="0.2">
      <c r="A455" s="336"/>
      <c r="B455" s="355" t="s">
        <v>393</v>
      </c>
      <c r="C455" s="189">
        <f t="shared" si="636"/>
        <v>524900</v>
      </c>
      <c r="D455" s="190">
        <f>SUM(D456:D460)</f>
        <v>524900</v>
      </c>
      <c r="E455" s="190">
        <f>SUM(E456:E460)</f>
        <v>505200</v>
      </c>
      <c r="F455" s="190">
        <f>SUM(F456:F460)</f>
        <v>0</v>
      </c>
      <c r="G455" s="189">
        <f t="shared" si="650"/>
        <v>19400</v>
      </c>
      <c r="H455" s="190">
        <f>SUM(H456:H460)</f>
        <v>19400</v>
      </c>
      <c r="I455" s="190">
        <f>SUM(I456:I460)</f>
        <v>19100</v>
      </c>
      <c r="J455" s="190">
        <f>SUM(J456:J460)</f>
        <v>0</v>
      </c>
      <c r="K455" s="189">
        <f t="shared" si="651"/>
        <v>37192.49</v>
      </c>
      <c r="L455" s="190">
        <f>SUM(L456:L460)</f>
        <v>34192.49</v>
      </c>
      <c r="M455" s="190">
        <f>SUM(M456:M460)</f>
        <v>0</v>
      </c>
      <c r="N455" s="190">
        <f>SUM(N456:N460)</f>
        <v>3000</v>
      </c>
      <c r="O455" s="189">
        <f t="shared" si="652"/>
        <v>0</v>
      </c>
      <c r="P455" s="190">
        <f>SUM(P456:P460)</f>
        <v>0</v>
      </c>
      <c r="Q455" s="190">
        <f>SUM(Q456:Q460)</f>
        <v>0</v>
      </c>
      <c r="R455" s="190">
        <f>SUM(R456:R460)</f>
        <v>0</v>
      </c>
      <c r="S455" s="189">
        <f t="shared" si="637"/>
        <v>581492.49</v>
      </c>
      <c r="T455" s="190">
        <f>SUM(T456:T460)</f>
        <v>578492.49</v>
      </c>
      <c r="U455" s="190">
        <f>SUM(U456:U460)</f>
        <v>524300</v>
      </c>
      <c r="V455" s="251">
        <f>SUM(V456:V460)</f>
        <v>3000</v>
      </c>
    </row>
    <row r="456" spans="1:23" x14ac:dyDescent="0.2">
      <c r="A456" s="330" t="s">
        <v>68</v>
      </c>
      <c r="B456" s="326" t="s">
        <v>307</v>
      </c>
      <c r="C456" s="191">
        <f t="shared" si="636"/>
        <v>0</v>
      </c>
      <c r="D456" s="192"/>
      <c r="E456" s="192"/>
      <c r="F456" s="240"/>
      <c r="G456" s="191">
        <f t="shared" si="650"/>
        <v>19400</v>
      </c>
      <c r="H456" s="192">
        <v>19400</v>
      </c>
      <c r="I456" s="192">
        <v>19100</v>
      </c>
      <c r="J456" s="240"/>
      <c r="K456" s="191">
        <f t="shared" si="651"/>
        <v>0</v>
      </c>
      <c r="L456" s="192"/>
      <c r="M456" s="192"/>
      <c r="N456" s="240"/>
      <c r="O456" s="191">
        <f t="shared" si="652"/>
        <v>0</v>
      </c>
      <c r="P456" s="192"/>
      <c r="Q456" s="192"/>
      <c r="R456" s="240"/>
      <c r="S456" s="191">
        <f t="shared" ref="S456:S460" si="700">T456+V456</f>
        <v>19400</v>
      </c>
      <c r="T456" s="227">
        <f>D456+H456+L456+P456</f>
        <v>19400</v>
      </c>
      <c r="U456" s="227">
        <f t="shared" ref="U456:U460" si="701">E456+I456+M456+Q456</f>
        <v>19100</v>
      </c>
      <c r="V456" s="240">
        <f t="shared" ref="V456:V460" si="702">F456+J456+N456+R456</f>
        <v>0</v>
      </c>
    </row>
    <row r="457" spans="1:23" ht="25.5" x14ac:dyDescent="0.2">
      <c r="A457" s="330" t="s">
        <v>68</v>
      </c>
      <c r="B457" s="326" t="s">
        <v>344</v>
      </c>
      <c r="C457" s="191">
        <f t="shared" ref="C457:C458" si="703">D457+F457</f>
        <v>524600</v>
      </c>
      <c r="D457" s="192">
        <v>524600</v>
      </c>
      <c r="E457" s="192">
        <v>505200</v>
      </c>
      <c r="F457" s="240"/>
      <c r="G457" s="191">
        <f t="shared" si="650"/>
        <v>0</v>
      </c>
      <c r="H457" s="192"/>
      <c r="I457" s="192"/>
      <c r="J457" s="240"/>
      <c r="K457" s="191">
        <f t="shared" si="651"/>
        <v>0</v>
      </c>
      <c r="L457" s="192"/>
      <c r="M457" s="192"/>
      <c r="N457" s="240"/>
      <c r="O457" s="191">
        <f t="shared" si="652"/>
        <v>0</v>
      </c>
      <c r="P457" s="192"/>
      <c r="Q457" s="192"/>
      <c r="R457" s="240"/>
      <c r="S457" s="191">
        <f t="shared" si="700"/>
        <v>524600</v>
      </c>
      <c r="T457" s="227">
        <f>D457+H457+L457+P457</f>
        <v>524600</v>
      </c>
      <c r="U457" s="227">
        <f t="shared" si="701"/>
        <v>505200</v>
      </c>
      <c r="V457" s="228">
        <f t="shared" si="702"/>
        <v>0</v>
      </c>
      <c r="W457" s="150"/>
    </row>
    <row r="458" spans="1:23" x14ac:dyDescent="0.2">
      <c r="A458" s="330" t="s">
        <v>68</v>
      </c>
      <c r="B458" s="326" t="s">
        <v>306</v>
      </c>
      <c r="C458" s="191">
        <f t="shared" si="703"/>
        <v>300</v>
      </c>
      <c r="D458" s="192">
        <v>300</v>
      </c>
      <c r="E458" s="192"/>
      <c r="F458" s="240"/>
      <c r="G458" s="191">
        <f t="shared" si="650"/>
        <v>0</v>
      </c>
      <c r="H458" s="192"/>
      <c r="I458" s="192"/>
      <c r="J458" s="240"/>
      <c r="K458" s="191">
        <f t="shared" si="651"/>
        <v>0</v>
      </c>
      <c r="L458" s="192"/>
      <c r="M458" s="192"/>
      <c r="N458" s="240"/>
      <c r="O458" s="191">
        <f t="shared" si="652"/>
        <v>0</v>
      </c>
      <c r="P458" s="192"/>
      <c r="Q458" s="192"/>
      <c r="R458" s="240"/>
      <c r="S458" s="191">
        <f t="shared" si="700"/>
        <v>300</v>
      </c>
      <c r="T458" s="227">
        <f>D458+H458+L458+P458</f>
        <v>300</v>
      </c>
      <c r="U458" s="227">
        <f t="shared" si="701"/>
        <v>0</v>
      </c>
      <c r="V458" s="240">
        <f t="shared" si="702"/>
        <v>0</v>
      </c>
    </row>
    <row r="459" spans="1:23" x14ac:dyDescent="0.2">
      <c r="A459" s="330" t="s">
        <v>68</v>
      </c>
      <c r="B459" s="326" t="s">
        <v>308</v>
      </c>
      <c r="C459" s="191"/>
      <c r="D459" s="192"/>
      <c r="E459" s="192"/>
      <c r="F459" s="240"/>
      <c r="G459" s="191"/>
      <c r="H459" s="192"/>
      <c r="I459" s="192"/>
      <c r="J459" s="240"/>
      <c r="K459" s="191">
        <f t="shared" si="651"/>
        <v>31500</v>
      </c>
      <c r="L459" s="192">
        <v>28500</v>
      </c>
      <c r="M459" s="192"/>
      <c r="N459" s="240">
        <v>3000</v>
      </c>
      <c r="O459" s="191"/>
      <c r="P459" s="192"/>
      <c r="Q459" s="192"/>
      <c r="R459" s="240"/>
      <c r="S459" s="191">
        <f t="shared" si="700"/>
        <v>31500</v>
      </c>
      <c r="T459" s="227">
        <f>D459+H459+L459+P459</f>
        <v>28500</v>
      </c>
      <c r="U459" s="227">
        <f t="shared" si="701"/>
        <v>0</v>
      </c>
      <c r="V459" s="228">
        <f t="shared" si="702"/>
        <v>3000</v>
      </c>
      <c r="W459" s="150"/>
    </row>
    <row r="460" spans="1:23" ht="13.5" thickBot="1" x14ac:dyDescent="0.25">
      <c r="A460" s="330" t="s">
        <v>68</v>
      </c>
      <c r="B460" s="326" t="s">
        <v>484</v>
      </c>
      <c r="C460" s="191">
        <f t="shared" ref="C460" si="704">D460+F460</f>
        <v>0</v>
      </c>
      <c r="D460" s="192"/>
      <c r="E460" s="192"/>
      <c r="F460" s="240"/>
      <c r="G460" s="191">
        <f t="shared" ref="G460" si="705">H460+J460</f>
        <v>0</v>
      </c>
      <c r="H460" s="192"/>
      <c r="I460" s="192"/>
      <c r="J460" s="240"/>
      <c r="K460" s="191">
        <f t="shared" ref="K460" si="706">L460+N460</f>
        <v>5692.49</v>
      </c>
      <c r="L460" s="192">
        <v>5692.49</v>
      </c>
      <c r="M460" s="192"/>
      <c r="N460" s="240"/>
      <c r="O460" s="191">
        <f t="shared" ref="O460" si="707">P460+R460</f>
        <v>0</v>
      </c>
      <c r="P460" s="192"/>
      <c r="Q460" s="192"/>
      <c r="R460" s="240"/>
      <c r="S460" s="191">
        <f t="shared" si="700"/>
        <v>5692.49</v>
      </c>
      <c r="T460" s="227">
        <f>D460+H460+L460+P460</f>
        <v>5692.49</v>
      </c>
      <c r="U460" s="227">
        <f t="shared" si="701"/>
        <v>0</v>
      </c>
      <c r="V460" s="228">
        <f t="shared" si="702"/>
        <v>0</v>
      </c>
      <c r="W460" s="150"/>
    </row>
    <row r="461" spans="1:23" ht="15.75" customHeight="1" thickBot="1" x14ac:dyDescent="0.25">
      <c r="A461" s="404"/>
      <c r="B461" s="331" t="s">
        <v>309</v>
      </c>
      <c r="C461" s="195">
        <f>D461+F461</f>
        <v>4643100</v>
      </c>
      <c r="D461" s="198">
        <f>SUM(D320,D337,D345,D353,D361,D368,D375,D384,D391,D395,D402,D410,D416,D424,D430,D437,D442,D447,D451,D455,)</f>
        <v>4625100</v>
      </c>
      <c r="E461" s="198">
        <f>SUM(E320,E337,E345,E353,E361,E368,E375,E384,E391,E395,E402,E410,E416,E424,E430,E437,E442,E447,E451,E455,)</f>
        <v>3273400</v>
      </c>
      <c r="F461" s="198">
        <f>SUM(F320,F337,F345,F353,F361,F368,F375,F384,F391,F395,F402,F410,F416,F424,F430,F437,F442,F447,F451,F455,)</f>
        <v>18000</v>
      </c>
      <c r="G461" s="272">
        <f>H461+J461</f>
        <v>8047484</v>
      </c>
      <c r="H461" s="198">
        <f>SUM(H320,H337,H345,H353,H361,H368,H375,H384,H391,H395,H402,H410,H416,H424,H430,H437,H442,H447,H451,H455,)</f>
        <v>7947384</v>
      </c>
      <c r="I461" s="198">
        <f>SUM(I320,I337,I345,I353,I361,I368,I375,I384,I391,I395,I402,I410,I416,I424,I430,I437,I442,I447,I451,I455,)</f>
        <v>7232169</v>
      </c>
      <c r="J461" s="198">
        <f>SUM(J320,J337,J345,J353,J361,J368,J375,J384,J391,J395,J402,J410,J416,J424,J430,J437,J442,J447,J451,J455,)</f>
        <v>100100</v>
      </c>
      <c r="K461" s="197">
        <f>L461+N461</f>
        <v>301936.17</v>
      </c>
      <c r="L461" s="198">
        <f>SUM(L320,L337,L345,L353,L361,L368,L375,L384,L391,L395,L402,L410,L416,L424,L430,L437,L442,L447,L451,L455)</f>
        <v>295427.82</v>
      </c>
      <c r="M461" s="198">
        <f>SUM(M320,M337,M345,M353,M361,M368,M375,M384,M391,M395,M402,M410,M416,M424,M430,M437,M442,M447,M451,M455)</f>
        <v>0</v>
      </c>
      <c r="N461" s="271">
        <f>SUM(N320,N337,N345,N353,N361,N368,N375,N384,N391,N395,N402,N410,N416,N424,N430,N437,N442,N447,N451,N455,)</f>
        <v>6508.35</v>
      </c>
      <c r="O461" s="272">
        <f>P461+R461</f>
        <v>89012.64</v>
      </c>
      <c r="P461" s="198">
        <f>SUM(P320,P337,P345,P353,P361,P368,P375,P384,P391,P395,P402,P410,P416,P424,P430,P437,P442,P447,P451,P455,)</f>
        <v>0</v>
      </c>
      <c r="Q461" s="198">
        <f>SUM(Q320,Q337,Q345,Q353,Q361,Q368,Q375,Q384,Q391,Q395,Q402,Q410,Q416,Q424,Q430,Q437,Q442,Q447,Q451,Q455,)</f>
        <v>0</v>
      </c>
      <c r="R461" s="198">
        <f>SUM(R320,R337,R345,R353,R361,R368,R375,R384,R391,R395,R402,R410,R416,R424,R430,R437,R442,R447,R451,R455,)</f>
        <v>89012.64</v>
      </c>
      <c r="S461" s="195">
        <f>T461+V461</f>
        <v>13081532.809999999</v>
      </c>
      <c r="T461" s="198">
        <f>SUM(T320,T337,T345,T353,T361,T368,T375,T384,T391,T395,T402,T410,T416,T424,T430,T437,T442,T447,T451,T455,)</f>
        <v>12867911.819999998</v>
      </c>
      <c r="U461" s="198">
        <f>SUM(U320,U337,U345,U353,U361,U368,U375,U384,U391,U395,U402,U410,U416,U424,U430,U437,U442,U447,U451,U455,)</f>
        <v>10505569</v>
      </c>
      <c r="V461" s="271">
        <f>SUM(V320,V337,V345,V353,V361,V368,V375,V384,V391,V395,V402,V410,V416,V424,V430,V437,V442,V447,V451,V455,)</f>
        <v>213620.99</v>
      </c>
      <c r="W461" s="150"/>
    </row>
    <row r="462" spans="1:23" ht="15.75" customHeight="1" thickBot="1" x14ac:dyDescent="0.25">
      <c r="A462" s="501" t="s">
        <v>311</v>
      </c>
      <c r="B462" s="502"/>
      <c r="C462" s="502"/>
      <c r="D462" s="502"/>
      <c r="E462" s="502"/>
      <c r="F462" s="502"/>
      <c r="G462" s="502"/>
      <c r="H462" s="502"/>
      <c r="I462" s="502"/>
      <c r="J462" s="502"/>
      <c r="K462" s="502"/>
      <c r="L462" s="502"/>
      <c r="M462" s="502"/>
      <c r="N462" s="502"/>
      <c r="O462" s="502"/>
      <c r="P462" s="502"/>
      <c r="Q462" s="502"/>
      <c r="R462" s="502"/>
      <c r="S462" s="502"/>
      <c r="T462" s="502"/>
      <c r="U462" s="502"/>
      <c r="V462" s="503"/>
    </row>
    <row r="463" spans="1:23" x14ac:dyDescent="0.2">
      <c r="A463" s="333" t="s">
        <v>62</v>
      </c>
      <c r="B463" s="396" t="s">
        <v>85</v>
      </c>
      <c r="C463" s="189">
        <f t="shared" ref="C463:C536" si="708">D463+F463</f>
        <v>79000</v>
      </c>
      <c r="D463" s="245">
        <v>79000</v>
      </c>
      <c r="E463" s="245">
        <v>75400</v>
      </c>
      <c r="F463" s="266"/>
      <c r="G463" s="264">
        <f t="shared" ref="G463:G536" si="709">H463+J463</f>
        <v>0</v>
      </c>
      <c r="H463" s="265"/>
      <c r="I463" s="265"/>
      <c r="J463" s="397"/>
      <c r="K463" s="189">
        <f t="shared" ref="K463:K536" si="710">L463+N463</f>
        <v>0</v>
      </c>
      <c r="L463" s="245"/>
      <c r="M463" s="245"/>
      <c r="N463" s="266"/>
      <c r="O463" s="264">
        <f t="shared" ref="O463:O536" si="711">P463+R463</f>
        <v>0</v>
      </c>
      <c r="P463" s="265"/>
      <c r="Q463" s="265"/>
      <c r="R463" s="397"/>
      <c r="S463" s="264">
        <f t="shared" ref="S463:S536" si="712">T463+V463</f>
        <v>79000</v>
      </c>
      <c r="T463" s="265">
        <f>D463+H463+L463+P463</f>
        <v>79000</v>
      </c>
      <c r="U463" s="265">
        <f>E463+I463+M463+Q463</f>
        <v>75400</v>
      </c>
      <c r="V463" s="397">
        <f>F463+J463+N463+R463</f>
        <v>0</v>
      </c>
      <c r="W463" s="150"/>
    </row>
    <row r="464" spans="1:23" ht="14.25" customHeight="1" x14ac:dyDescent="0.2">
      <c r="A464" s="336"/>
      <c r="B464" s="352" t="s">
        <v>134</v>
      </c>
      <c r="C464" s="189">
        <f t="shared" si="708"/>
        <v>3731898.6100000003</v>
      </c>
      <c r="D464" s="190">
        <f>SUM(D465:D493)</f>
        <v>2723798.6100000003</v>
      </c>
      <c r="E464" s="190">
        <f>SUM(E465:E493)</f>
        <v>2221400</v>
      </c>
      <c r="F464" s="190">
        <f>SUM(F465:F493)</f>
        <v>1008100</v>
      </c>
      <c r="G464" s="189">
        <f t="shared" si="709"/>
        <v>386888</v>
      </c>
      <c r="H464" s="190">
        <f>SUM(H465:H493)</f>
        <v>386888</v>
      </c>
      <c r="I464" s="190">
        <f>SUM(I465:I493)</f>
        <v>338312</v>
      </c>
      <c r="J464" s="190">
        <f>SUM(J465:J493)</f>
        <v>0</v>
      </c>
      <c r="K464" s="189">
        <f t="shared" si="710"/>
        <v>89192.22</v>
      </c>
      <c r="L464" s="190">
        <f>SUM(L465:L493)</f>
        <v>89192.22</v>
      </c>
      <c r="M464" s="190">
        <f>SUM(M465:M493)</f>
        <v>0</v>
      </c>
      <c r="N464" s="190">
        <f>SUM(N465:N493)</f>
        <v>0</v>
      </c>
      <c r="O464" s="189">
        <f t="shared" si="711"/>
        <v>0</v>
      </c>
      <c r="P464" s="190">
        <f>SUM(P465:P493)</f>
        <v>0</v>
      </c>
      <c r="Q464" s="190">
        <f>SUM(Q465:Q493)</f>
        <v>0</v>
      </c>
      <c r="R464" s="190">
        <f>SUM(R465:R493)</f>
        <v>0</v>
      </c>
      <c r="S464" s="189">
        <f t="shared" si="712"/>
        <v>4207978.83</v>
      </c>
      <c r="T464" s="190">
        <f>SUM(T465:T493)</f>
        <v>3199878.83</v>
      </c>
      <c r="U464" s="190">
        <f>SUM(U465:U493)</f>
        <v>2559712</v>
      </c>
      <c r="V464" s="251">
        <f>SUM(V465:V493)</f>
        <v>1008100</v>
      </c>
    </row>
    <row r="465" spans="1:23" ht="13.5" customHeight="1" x14ac:dyDescent="0.2">
      <c r="A465" s="336" t="s">
        <v>62</v>
      </c>
      <c r="B465" s="343" t="s">
        <v>135</v>
      </c>
      <c r="C465" s="191">
        <f t="shared" si="708"/>
        <v>127400</v>
      </c>
      <c r="D465" s="192">
        <v>127400</v>
      </c>
      <c r="E465" s="192">
        <v>106800</v>
      </c>
      <c r="F465" s="253"/>
      <c r="G465" s="191">
        <f t="shared" si="709"/>
        <v>0</v>
      </c>
      <c r="H465" s="192"/>
      <c r="I465" s="192"/>
      <c r="J465" s="240"/>
      <c r="K465" s="191">
        <f t="shared" si="710"/>
        <v>0</v>
      </c>
      <c r="L465" s="192"/>
      <c r="M465" s="192"/>
      <c r="N465" s="253"/>
      <c r="O465" s="191">
        <f t="shared" si="711"/>
        <v>0</v>
      </c>
      <c r="P465" s="192"/>
      <c r="Q465" s="192"/>
      <c r="R465" s="240"/>
      <c r="S465" s="189">
        <f t="shared" si="712"/>
        <v>127400</v>
      </c>
      <c r="T465" s="227">
        <f>D465+H465+L465+P465</f>
        <v>127400</v>
      </c>
      <c r="U465" s="227">
        <f t="shared" ref="U465:V465" si="713">E465+I465+M465+Q465</f>
        <v>106800</v>
      </c>
      <c r="V465" s="240">
        <f t="shared" si="713"/>
        <v>0</v>
      </c>
    </row>
    <row r="466" spans="1:23" ht="14.25" customHeight="1" x14ac:dyDescent="0.2">
      <c r="A466" s="336" t="s">
        <v>62</v>
      </c>
      <c r="B466" s="343" t="s">
        <v>312</v>
      </c>
      <c r="C466" s="191">
        <f t="shared" si="708"/>
        <v>1846200</v>
      </c>
      <c r="D466" s="192">
        <v>1708200</v>
      </c>
      <c r="E466" s="192">
        <v>1528000</v>
      </c>
      <c r="F466" s="253">
        <f>5000+133000</f>
        <v>138000</v>
      </c>
      <c r="G466" s="191">
        <f t="shared" si="709"/>
        <v>0</v>
      </c>
      <c r="H466" s="192"/>
      <c r="I466" s="192"/>
      <c r="J466" s="240"/>
      <c r="K466" s="191">
        <f t="shared" si="710"/>
        <v>51600</v>
      </c>
      <c r="L466" s="192">
        <v>51600</v>
      </c>
      <c r="M466" s="192"/>
      <c r="N466" s="253"/>
      <c r="O466" s="191">
        <f t="shared" si="711"/>
        <v>0</v>
      </c>
      <c r="P466" s="192"/>
      <c r="Q466" s="192"/>
      <c r="R466" s="240"/>
      <c r="S466" s="189">
        <f t="shared" si="712"/>
        <v>1897800</v>
      </c>
      <c r="T466" s="227">
        <f t="shared" ref="T466:T493" si="714">D466+H466+L466+P466</f>
        <v>1759800</v>
      </c>
      <c r="U466" s="227">
        <f t="shared" ref="U466:U493" si="715">E466+I466+M466+Q466</f>
        <v>1528000</v>
      </c>
      <c r="V466" s="228">
        <f t="shared" ref="V466:V493" si="716">F466+J466+N466+R466</f>
        <v>138000</v>
      </c>
      <c r="W466" s="150"/>
    </row>
    <row r="467" spans="1:23" ht="14.25" customHeight="1" x14ac:dyDescent="0.2">
      <c r="A467" s="336" t="s">
        <v>62</v>
      </c>
      <c r="B467" s="343" t="s">
        <v>484</v>
      </c>
      <c r="C467" s="191">
        <f t="shared" si="708"/>
        <v>0</v>
      </c>
      <c r="D467" s="192"/>
      <c r="E467" s="192"/>
      <c r="F467" s="253"/>
      <c r="G467" s="191">
        <f>H467+J467</f>
        <v>0</v>
      </c>
      <c r="H467" s="192"/>
      <c r="I467" s="192"/>
      <c r="J467" s="240"/>
      <c r="K467" s="191">
        <f>L467+N467</f>
        <v>37592.22</v>
      </c>
      <c r="L467" s="192">
        <v>37592.22</v>
      </c>
      <c r="M467" s="192"/>
      <c r="N467" s="253"/>
      <c r="O467" s="191">
        <f>P467+R467</f>
        <v>0</v>
      </c>
      <c r="P467" s="192"/>
      <c r="Q467" s="192"/>
      <c r="R467" s="240"/>
      <c r="S467" s="189">
        <f t="shared" si="712"/>
        <v>37592.22</v>
      </c>
      <c r="T467" s="227">
        <f t="shared" si="714"/>
        <v>37592.22</v>
      </c>
      <c r="U467" s="227">
        <f t="shared" si="715"/>
        <v>0</v>
      </c>
      <c r="V467" s="240">
        <f t="shared" si="716"/>
        <v>0</v>
      </c>
    </row>
    <row r="468" spans="1:23" ht="25.5" customHeight="1" x14ac:dyDescent="0.2">
      <c r="A468" s="336" t="s">
        <v>62</v>
      </c>
      <c r="B468" s="398" t="s">
        <v>51</v>
      </c>
      <c r="C468" s="191">
        <f t="shared" si="708"/>
        <v>0</v>
      </c>
      <c r="D468" s="192"/>
      <c r="E468" s="192"/>
      <c r="F468" s="253"/>
      <c r="G468" s="191">
        <f t="shared" ref="G468:G482" si="717">H468+J468</f>
        <v>400</v>
      </c>
      <c r="H468" s="192">
        <v>400</v>
      </c>
      <c r="I468" s="192">
        <v>390</v>
      </c>
      <c r="J468" s="240"/>
      <c r="K468" s="191"/>
      <c r="L468" s="192"/>
      <c r="M468" s="192"/>
      <c r="N468" s="253"/>
      <c r="O468" s="191"/>
      <c r="P468" s="192"/>
      <c r="Q468" s="192"/>
      <c r="R468" s="240"/>
      <c r="S468" s="189">
        <f t="shared" si="712"/>
        <v>400</v>
      </c>
      <c r="T468" s="227">
        <f t="shared" si="714"/>
        <v>400</v>
      </c>
      <c r="U468" s="227">
        <f t="shared" si="715"/>
        <v>390</v>
      </c>
      <c r="V468" s="228">
        <f t="shared" si="716"/>
        <v>0</v>
      </c>
      <c r="W468" s="150"/>
    </row>
    <row r="469" spans="1:23" ht="13.5" customHeight="1" x14ac:dyDescent="0.2">
      <c r="A469" s="336" t="s">
        <v>62</v>
      </c>
      <c r="B469" s="398" t="s">
        <v>57</v>
      </c>
      <c r="C469" s="191">
        <f t="shared" si="708"/>
        <v>26400</v>
      </c>
      <c r="D469" s="192">
        <v>26400</v>
      </c>
      <c r="E469" s="192">
        <v>21000</v>
      </c>
      <c r="F469" s="253"/>
      <c r="G469" s="191">
        <f t="shared" si="717"/>
        <v>26200</v>
      </c>
      <c r="H469" s="192">
        <v>26200</v>
      </c>
      <c r="I469" s="192">
        <v>25800</v>
      </c>
      <c r="J469" s="240"/>
      <c r="K469" s="191"/>
      <c r="L469" s="192"/>
      <c r="M469" s="192"/>
      <c r="N469" s="253"/>
      <c r="O469" s="191"/>
      <c r="P469" s="192"/>
      <c r="Q469" s="192"/>
      <c r="R469" s="240"/>
      <c r="S469" s="189">
        <f t="shared" si="712"/>
        <v>52600</v>
      </c>
      <c r="T469" s="227">
        <f t="shared" si="714"/>
        <v>52600</v>
      </c>
      <c r="U469" s="227">
        <f t="shared" si="715"/>
        <v>46800</v>
      </c>
      <c r="V469" s="240">
        <f t="shared" si="716"/>
        <v>0</v>
      </c>
    </row>
    <row r="470" spans="1:23" ht="25.5" customHeight="1" x14ac:dyDescent="0.2">
      <c r="A470" s="336" t="s">
        <v>62</v>
      </c>
      <c r="B470" s="398" t="s">
        <v>52</v>
      </c>
      <c r="C470" s="191">
        <f t="shared" si="708"/>
        <v>13300</v>
      </c>
      <c r="D470" s="192">
        <v>13300</v>
      </c>
      <c r="E470" s="192">
        <v>12600</v>
      </c>
      <c r="F470" s="253"/>
      <c r="G470" s="191">
        <f t="shared" si="717"/>
        <v>8240</v>
      </c>
      <c r="H470" s="192">
        <v>8240</v>
      </c>
      <c r="I470" s="192">
        <v>8122</v>
      </c>
      <c r="J470" s="240"/>
      <c r="K470" s="191"/>
      <c r="L470" s="192"/>
      <c r="M470" s="192"/>
      <c r="N470" s="253"/>
      <c r="O470" s="191"/>
      <c r="P470" s="192"/>
      <c r="Q470" s="192"/>
      <c r="R470" s="240"/>
      <c r="S470" s="189">
        <f t="shared" si="712"/>
        <v>21540</v>
      </c>
      <c r="T470" s="227">
        <f t="shared" si="714"/>
        <v>21540</v>
      </c>
      <c r="U470" s="227">
        <f t="shared" si="715"/>
        <v>20722</v>
      </c>
      <c r="V470" s="240">
        <f t="shared" si="716"/>
        <v>0</v>
      </c>
    </row>
    <row r="471" spans="1:23" ht="15" customHeight="1" x14ac:dyDescent="0.2">
      <c r="A471" s="336" t="s">
        <v>62</v>
      </c>
      <c r="B471" s="398" t="s">
        <v>486</v>
      </c>
      <c r="C471" s="191">
        <f t="shared" si="708"/>
        <v>15200</v>
      </c>
      <c r="D471" s="192">
        <v>15200</v>
      </c>
      <c r="E471" s="192">
        <v>13700</v>
      </c>
      <c r="F471" s="253"/>
      <c r="G471" s="191">
        <f t="shared" si="717"/>
        <v>26800</v>
      </c>
      <c r="H471" s="192">
        <v>26800</v>
      </c>
      <c r="I471" s="192">
        <v>23500</v>
      </c>
      <c r="J471" s="240"/>
      <c r="K471" s="191"/>
      <c r="L471" s="192"/>
      <c r="M471" s="192"/>
      <c r="N471" s="253"/>
      <c r="O471" s="191"/>
      <c r="P471" s="192"/>
      <c r="Q471" s="192"/>
      <c r="R471" s="240"/>
      <c r="S471" s="189">
        <f t="shared" si="712"/>
        <v>42000</v>
      </c>
      <c r="T471" s="227">
        <f t="shared" si="714"/>
        <v>42000</v>
      </c>
      <c r="U471" s="227">
        <f t="shared" si="715"/>
        <v>37200</v>
      </c>
      <c r="V471" s="240">
        <f t="shared" si="716"/>
        <v>0</v>
      </c>
    </row>
    <row r="472" spans="1:23" ht="13.5" customHeight="1" x14ac:dyDescent="0.2">
      <c r="A472" s="336" t="s">
        <v>62</v>
      </c>
      <c r="B472" s="398" t="s">
        <v>88</v>
      </c>
      <c r="C472" s="191">
        <f t="shared" si="708"/>
        <v>400</v>
      </c>
      <c r="D472" s="192">
        <v>400</v>
      </c>
      <c r="E472" s="192"/>
      <c r="F472" s="253"/>
      <c r="G472" s="191">
        <f t="shared" si="717"/>
        <v>17400</v>
      </c>
      <c r="H472" s="192">
        <v>17400</v>
      </c>
      <c r="I472" s="192">
        <v>16900</v>
      </c>
      <c r="J472" s="240"/>
      <c r="K472" s="191"/>
      <c r="L472" s="192"/>
      <c r="M472" s="192"/>
      <c r="N472" s="253"/>
      <c r="O472" s="191"/>
      <c r="P472" s="192"/>
      <c r="Q472" s="192"/>
      <c r="R472" s="240"/>
      <c r="S472" s="189">
        <f t="shared" si="712"/>
        <v>17800</v>
      </c>
      <c r="T472" s="227">
        <f t="shared" si="714"/>
        <v>17800</v>
      </c>
      <c r="U472" s="227">
        <f t="shared" si="715"/>
        <v>16900</v>
      </c>
      <c r="V472" s="228">
        <f t="shared" si="716"/>
        <v>0</v>
      </c>
      <c r="W472" s="150"/>
    </row>
    <row r="473" spans="1:23" ht="15" customHeight="1" x14ac:dyDescent="0.2">
      <c r="A473" s="336" t="s">
        <v>62</v>
      </c>
      <c r="B473" s="398" t="s">
        <v>487</v>
      </c>
      <c r="C473" s="191">
        <f t="shared" si="708"/>
        <v>14500</v>
      </c>
      <c r="D473" s="192">
        <v>14500</v>
      </c>
      <c r="E473" s="192">
        <v>13800</v>
      </c>
      <c r="F473" s="253"/>
      <c r="G473" s="191">
        <f t="shared" si="717"/>
        <v>7100</v>
      </c>
      <c r="H473" s="192">
        <v>7100</v>
      </c>
      <c r="I473" s="192">
        <v>7000</v>
      </c>
      <c r="J473" s="240"/>
      <c r="K473" s="191"/>
      <c r="L473" s="192"/>
      <c r="M473" s="192"/>
      <c r="N473" s="253"/>
      <c r="O473" s="191"/>
      <c r="P473" s="192"/>
      <c r="Q473" s="192"/>
      <c r="R473" s="240"/>
      <c r="S473" s="189">
        <f t="shared" si="712"/>
        <v>21600</v>
      </c>
      <c r="T473" s="227">
        <f t="shared" si="714"/>
        <v>21600</v>
      </c>
      <c r="U473" s="227">
        <f t="shared" si="715"/>
        <v>20800</v>
      </c>
      <c r="V473" s="228">
        <f t="shared" si="716"/>
        <v>0</v>
      </c>
      <c r="W473" s="150"/>
    </row>
    <row r="474" spans="1:23" ht="15" customHeight="1" x14ac:dyDescent="0.2">
      <c r="A474" s="336" t="s">
        <v>62</v>
      </c>
      <c r="B474" s="398" t="s">
        <v>53</v>
      </c>
      <c r="C474" s="191">
        <f t="shared" si="708"/>
        <v>0</v>
      </c>
      <c r="D474" s="192"/>
      <c r="E474" s="192"/>
      <c r="F474" s="253"/>
      <c r="G474" s="191">
        <f t="shared" si="717"/>
        <v>5000</v>
      </c>
      <c r="H474" s="192">
        <f>5000</f>
        <v>5000</v>
      </c>
      <c r="I474" s="192">
        <v>4900</v>
      </c>
      <c r="J474" s="240"/>
      <c r="K474" s="191"/>
      <c r="L474" s="192"/>
      <c r="M474" s="192"/>
      <c r="N474" s="253"/>
      <c r="O474" s="191"/>
      <c r="P474" s="192"/>
      <c r="Q474" s="192"/>
      <c r="R474" s="240"/>
      <c r="S474" s="189">
        <f t="shared" si="712"/>
        <v>5000</v>
      </c>
      <c r="T474" s="227">
        <f t="shared" si="714"/>
        <v>5000</v>
      </c>
      <c r="U474" s="227">
        <f t="shared" si="715"/>
        <v>4900</v>
      </c>
      <c r="V474" s="228">
        <f t="shared" si="716"/>
        <v>0</v>
      </c>
      <c r="W474" s="150"/>
    </row>
    <row r="475" spans="1:23" ht="25.5" customHeight="1" x14ac:dyDescent="0.2">
      <c r="A475" s="336" t="s">
        <v>62</v>
      </c>
      <c r="B475" s="398" t="s">
        <v>488</v>
      </c>
      <c r="C475" s="191">
        <f t="shared" si="708"/>
        <v>0</v>
      </c>
      <c r="D475" s="192"/>
      <c r="E475" s="192"/>
      <c r="F475" s="253"/>
      <c r="G475" s="191">
        <f t="shared" si="717"/>
        <v>600</v>
      </c>
      <c r="H475" s="192">
        <v>600</v>
      </c>
      <c r="I475" s="192">
        <v>500</v>
      </c>
      <c r="J475" s="240"/>
      <c r="K475" s="191"/>
      <c r="L475" s="192"/>
      <c r="M475" s="192"/>
      <c r="N475" s="253"/>
      <c r="O475" s="191"/>
      <c r="P475" s="192"/>
      <c r="Q475" s="192"/>
      <c r="R475" s="240"/>
      <c r="S475" s="189">
        <f t="shared" si="712"/>
        <v>600</v>
      </c>
      <c r="T475" s="227">
        <f t="shared" si="714"/>
        <v>600</v>
      </c>
      <c r="U475" s="227">
        <f t="shared" si="715"/>
        <v>500</v>
      </c>
      <c r="V475" s="228">
        <f t="shared" si="716"/>
        <v>0</v>
      </c>
      <c r="W475" s="150"/>
    </row>
    <row r="476" spans="1:23" ht="14.25" customHeight="1" x14ac:dyDescent="0.2">
      <c r="A476" s="336" t="s">
        <v>62</v>
      </c>
      <c r="B476" s="343" t="s">
        <v>136</v>
      </c>
      <c r="C476" s="191">
        <f t="shared" ref="C476:C482" si="718">D476+F476</f>
        <v>469500</v>
      </c>
      <c r="D476" s="192">
        <v>74998.61</v>
      </c>
      <c r="E476" s="192"/>
      <c r="F476" s="253">
        <v>394501.39</v>
      </c>
      <c r="G476" s="191">
        <f t="shared" si="717"/>
        <v>0</v>
      </c>
      <c r="H476" s="192"/>
      <c r="I476" s="192"/>
      <c r="J476" s="240"/>
      <c r="K476" s="191">
        <f t="shared" ref="K476:K482" si="719">L476+N476</f>
        <v>0</v>
      </c>
      <c r="L476" s="192"/>
      <c r="M476" s="192"/>
      <c r="N476" s="253"/>
      <c r="O476" s="191">
        <f t="shared" ref="O476:O482" si="720">P476+R476</f>
        <v>0</v>
      </c>
      <c r="P476" s="192"/>
      <c r="Q476" s="192"/>
      <c r="R476" s="240"/>
      <c r="S476" s="189">
        <f t="shared" si="712"/>
        <v>469500</v>
      </c>
      <c r="T476" s="227">
        <f t="shared" si="714"/>
        <v>74998.61</v>
      </c>
      <c r="U476" s="227">
        <f t="shared" si="715"/>
        <v>0</v>
      </c>
      <c r="V476" s="240">
        <f t="shared" si="716"/>
        <v>394501.39</v>
      </c>
      <c r="W476" s="146"/>
    </row>
    <row r="477" spans="1:23" ht="14.25" customHeight="1" x14ac:dyDescent="0.2">
      <c r="A477" s="336" t="s">
        <v>62</v>
      </c>
      <c r="B477" s="343" t="s">
        <v>553</v>
      </c>
      <c r="C477" s="191">
        <f t="shared" ref="C477" si="721">D477+F477</f>
        <v>442598.61</v>
      </c>
      <c r="D477" s="192"/>
      <c r="E477" s="192"/>
      <c r="F477" s="253">
        <v>442598.61</v>
      </c>
      <c r="G477" s="191">
        <f t="shared" ref="G477" si="722">H477+J477</f>
        <v>0</v>
      </c>
      <c r="H477" s="192"/>
      <c r="I477" s="192"/>
      <c r="J477" s="240"/>
      <c r="K477" s="191">
        <f t="shared" ref="K477" si="723">L477+N477</f>
        <v>0</v>
      </c>
      <c r="L477" s="192"/>
      <c r="M477" s="192"/>
      <c r="N477" s="253"/>
      <c r="O477" s="191">
        <f t="shared" ref="O477" si="724">P477+R477</f>
        <v>0</v>
      </c>
      <c r="P477" s="192"/>
      <c r="Q477" s="192"/>
      <c r="R477" s="240"/>
      <c r="S477" s="189">
        <f t="shared" ref="S477" si="725">T477+V477</f>
        <v>442598.61</v>
      </c>
      <c r="T477" s="227">
        <f t="shared" ref="T477" si="726">D477+H477+L477+P477</f>
        <v>0</v>
      </c>
      <c r="U477" s="227">
        <f t="shared" ref="U477" si="727">E477+I477+M477+Q477</f>
        <v>0</v>
      </c>
      <c r="V477" s="240">
        <f t="shared" ref="V477" si="728">F477+J477+N477+R477</f>
        <v>442598.61</v>
      </c>
      <c r="W477" s="146"/>
    </row>
    <row r="478" spans="1:23" x14ac:dyDescent="0.2">
      <c r="A478" s="336" t="s">
        <v>62</v>
      </c>
      <c r="B478" s="398" t="s">
        <v>314</v>
      </c>
      <c r="C478" s="191">
        <f t="shared" si="718"/>
        <v>7000</v>
      </c>
      <c r="D478" s="192">
        <v>7000</v>
      </c>
      <c r="E478" s="192"/>
      <c r="F478" s="253"/>
      <c r="G478" s="191">
        <f t="shared" si="717"/>
        <v>0</v>
      </c>
      <c r="H478" s="192"/>
      <c r="I478" s="192"/>
      <c r="J478" s="240"/>
      <c r="K478" s="191">
        <f t="shared" si="719"/>
        <v>0</v>
      </c>
      <c r="L478" s="192"/>
      <c r="M478" s="192"/>
      <c r="N478" s="253"/>
      <c r="O478" s="191">
        <f t="shared" si="720"/>
        <v>0</v>
      </c>
      <c r="P478" s="192"/>
      <c r="Q478" s="192"/>
      <c r="R478" s="240"/>
      <c r="S478" s="189">
        <f t="shared" si="712"/>
        <v>7000</v>
      </c>
      <c r="T478" s="227">
        <f t="shared" si="714"/>
        <v>7000</v>
      </c>
      <c r="U478" s="227">
        <f t="shared" si="715"/>
        <v>0</v>
      </c>
      <c r="V478" s="228">
        <f t="shared" si="716"/>
        <v>0</v>
      </c>
      <c r="W478" s="150"/>
    </row>
    <row r="479" spans="1:23" ht="12.75" customHeight="1" x14ac:dyDescent="0.2">
      <c r="A479" s="336" t="s">
        <v>62</v>
      </c>
      <c r="B479" s="398" t="s">
        <v>313</v>
      </c>
      <c r="C479" s="191">
        <f t="shared" si="718"/>
        <v>15000</v>
      </c>
      <c r="D479" s="192">
        <v>15000</v>
      </c>
      <c r="E479" s="192"/>
      <c r="F479" s="253"/>
      <c r="G479" s="191">
        <f t="shared" si="717"/>
        <v>0</v>
      </c>
      <c r="H479" s="192"/>
      <c r="I479" s="192"/>
      <c r="J479" s="240"/>
      <c r="K479" s="191">
        <f t="shared" si="719"/>
        <v>0</v>
      </c>
      <c r="L479" s="192"/>
      <c r="M479" s="192"/>
      <c r="N479" s="253"/>
      <c r="O479" s="191">
        <f t="shared" si="720"/>
        <v>0</v>
      </c>
      <c r="P479" s="192"/>
      <c r="Q479" s="192"/>
      <c r="R479" s="240"/>
      <c r="S479" s="189">
        <f t="shared" si="712"/>
        <v>15000</v>
      </c>
      <c r="T479" s="227">
        <f t="shared" si="714"/>
        <v>15000</v>
      </c>
      <c r="U479" s="227">
        <f t="shared" si="715"/>
        <v>0</v>
      </c>
      <c r="V479" s="228">
        <f t="shared" si="716"/>
        <v>0</v>
      </c>
      <c r="W479" s="150"/>
    </row>
    <row r="480" spans="1:23" x14ac:dyDescent="0.2">
      <c r="A480" s="336" t="s">
        <v>62</v>
      </c>
      <c r="B480" s="398" t="s">
        <v>318</v>
      </c>
      <c r="C480" s="191">
        <f t="shared" si="718"/>
        <v>100400</v>
      </c>
      <c r="D480" s="192">
        <v>70400</v>
      </c>
      <c r="E480" s="192"/>
      <c r="F480" s="253">
        <v>30000</v>
      </c>
      <c r="G480" s="191">
        <f t="shared" si="717"/>
        <v>0</v>
      </c>
      <c r="H480" s="192"/>
      <c r="I480" s="192"/>
      <c r="J480" s="240"/>
      <c r="K480" s="191">
        <f t="shared" si="719"/>
        <v>0</v>
      </c>
      <c r="L480" s="192"/>
      <c r="M480" s="192"/>
      <c r="N480" s="253"/>
      <c r="O480" s="191">
        <f t="shared" si="720"/>
        <v>0</v>
      </c>
      <c r="P480" s="192"/>
      <c r="Q480" s="192"/>
      <c r="R480" s="240"/>
      <c r="S480" s="189">
        <f t="shared" si="712"/>
        <v>100400</v>
      </c>
      <c r="T480" s="227">
        <f t="shared" si="714"/>
        <v>70400</v>
      </c>
      <c r="U480" s="227">
        <f t="shared" si="715"/>
        <v>0</v>
      </c>
      <c r="V480" s="228">
        <f t="shared" si="716"/>
        <v>30000</v>
      </c>
      <c r="W480" s="150"/>
    </row>
    <row r="481" spans="1:23" x14ac:dyDescent="0.2">
      <c r="A481" s="336" t="s">
        <v>62</v>
      </c>
      <c r="B481" s="398" t="s">
        <v>316</v>
      </c>
      <c r="C481" s="191">
        <f t="shared" si="718"/>
        <v>15000</v>
      </c>
      <c r="D481" s="192">
        <v>15000</v>
      </c>
      <c r="E481" s="192"/>
      <c r="F481" s="253"/>
      <c r="G481" s="191">
        <f t="shared" si="717"/>
        <v>0</v>
      </c>
      <c r="H481" s="192"/>
      <c r="I481" s="192"/>
      <c r="J481" s="240"/>
      <c r="K481" s="191">
        <f t="shared" si="719"/>
        <v>0</v>
      </c>
      <c r="L481" s="192"/>
      <c r="M481" s="192"/>
      <c r="N481" s="253"/>
      <c r="O481" s="191">
        <f t="shared" si="720"/>
        <v>0</v>
      </c>
      <c r="P481" s="192"/>
      <c r="Q481" s="192"/>
      <c r="R481" s="240"/>
      <c r="S481" s="189">
        <f t="shared" si="712"/>
        <v>15000</v>
      </c>
      <c r="T481" s="227">
        <f t="shared" si="714"/>
        <v>15000</v>
      </c>
      <c r="U481" s="227">
        <f t="shared" si="715"/>
        <v>0</v>
      </c>
      <c r="V481" s="228">
        <f t="shared" si="716"/>
        <v>0</v>
      </c>
      <c r="W481" s="150"/>
    </row>
    <row r="482" spans="1:23" x14ac:dyDescent="0.2">
      <c r="A482" s="336" t="s">
        <v>62</v>
      </c>
      <c r="B482" s="398" t="s">
        <v>315</v>
      </c>
      <c r="C482" s="191">
        <f t="shared" si="718"/>
        <v>94600</v>
      </c>
      <c r="D482" s="192">
        <v>94600</v>
      </c>
      <c r="E482" s="192"/>
      <c r="F482" s="253"/>
      <c r="G482" s="191">
        <f t="shared" si="717"/>
        <v>0</v>
      </c>
      <c r="H482" s="192"/>
      <c r="I482" s="192"/>
      <c r="J482" s="240"/>
      <c r="K482" s="191">
        <f t="shared" si="719"/>
        <v>0</v>
      </c>
      <c r="L482" s="192"/>
      <c r="M482" s="192"/>
      <c r="N482" s="253"/>
      <c r="O482" s="191">
        <f t="shared" si="720"/>
        <v>0</v>
      </c>
      <c r="P482" s="192"/>
      <c r="Q482" s="192"/>
      <c r="R482" s="240"/>
      <c r="S482" s="189">
        <f t="shared" si="712"/>
        <v>94600</v>
      </c>
      <c r="T482" s="227">
        <f t="shared" si="714"/>
        <v>94600</v>
      </c>
      <c r="U482" s="227">
        <f t="shared" si="715"/>
        <v>0</v>
      </c>
      <c r="V482" s="228">
        <f t="shared" si="716"/>
        <v>0</v>
      </c>
      <c r="W482" s="150"/>
    </row>
    <row r="483" spans="1:23" ht="14.25" customHeight="1" x14ac:dyDescent="0.2">
      <c r="A483" s="336" t="s">
        <v>324</v>
      </c>
      <c r="B483" s="343" t="s">
        <v>54</v>
      </c>
      <c r="C483" s="191">
        <f t="shared" si="708"/>
        <v>0</v>
      </c>
      <c r="D483" s="192"/>
      <c r="E483" s="192"/>
      <c r="F483" s="253"/>
      <c r="G483" s="191">
        <f t="shared" si="709"/>
        <v>22700</v>
      </c>
      <c r="H483" s="192">
        <v>22700</v>
      </c>
      <c r="I483" s="192">
        <v>13500</v>
      </c>
      <c r="J483" s="240"/>
      <c r="K483" s="191"/>
      <c r="L483" s="192"/>
      <c r="M483" s="192"/>
      <c r="N483" s="253"/>
      <c r="O483" s="191"/>
      <c r="P483" s="192"/>
      <c r="Q483" s="192"/>
      <c r="R483" s="240"/>
      <c r="S483" s="189">
        <f>T483+V483</f>
        <v>22700</v>
      </c>
      <c r="T483" s="227">
        <f t="shared" si="714"/>
        <v>22700</v>
      </c>
      <c r="U483" s="227">
        <f t="shared" si="715"/>
        <v>13500</v>
      </c>
      <c r="V483" s="240">
        <f t="shared" si="716"/>
        <v>0</v>
      </c>
    </row>
    <row r="484" spans="1:23" ht="14.25" customHeight="1" x14ac:dyDescent="0.2">
      <c r="A484" s="336" t="s">
        <v>324</v>
      </c>
      <c r="B484" s="343" t="s">
        <v>387</v>
      </c>
      <c r="C484" s="191"/>
      <c r="D484" s="192"/>
      <c r="E484" s="192"/>
      <c r="F484" s="253"/>
      <c r="G484" s="191">
        <f t="shared" si="709"/>
        <v>13300</v>
      </c>
      <c r="H484" s="192">
        <v>13300</v>
      </c>
      <c r="I484" s="192">
        <v>11700</v>
      </c>
      <c r="J484" s="240"/>
      <c r="K484" s="191"/>
      <c r="L484" s="192"/>
      <c r="M484" s="192"/>
      <c r="N484" s="253"/>
      <c r="O484" s="191"/>
      <c r="P484" s="192"/>
      <c r="Q484" s="192"/>
      <c r="R484" s="240"/>
      <c r="S484" s="189">
        <f t="shared" ref="S484:S493" si="729">T484+V484</f>
        <v>13300</v>
      </c>
      <c r="T484" s="227">
        <f t="shared" si="714"/>
        <v>13300</v>
      </c>
      <c r="U484" s="227">
        <f t="shared" si="715"/>
        <v>11700</v>
      </c>
      <c r="V484" s="240">
        <f t="shared" si="716"/>
        <v>0</v>
      </c>
    </row>
    <row r="485" spans="1:23" x14ac:dyDescent="0.2">
      <c r="A485" s="336" t="s">
        <v>63</v>
      </c>
      <c r="B485" s="398" t="s">
        <v>317</v>
      </c>
      <c r="C485" s="191">
        <f t="shared" si="708"/>
        <v>300</v>
      </c>
      <c r="D485" s="192">
        <v>300</v>
      </c>
      <c r="E485" s="192"/>
      <c r="F485" s="253"/>
      <c r="G485" s="191">
        <f t="shared" si="709"/>
        <v>0</v>
      </c>
      <c r="H485" s="192"/>
      <c r="I485" s="192"/>
      <c r="J485" s="240"/>
      <c r="K485" s="191">
        <f t="shared" ref="K485:K486" si="730">L485+N485</f>
        <v>0</v>
      </c>
      <c r="L485" s="192"/>
      <c r="M485" s="192"/>
      <c r="N485" s="253"/>
      <c r="O485" s="191">
        <f t="shared" ref="O485:O486" si="731">P485+R485</f>
        <v>0</v>
      </c>
      <c r="P485" s="192"/>
      <c r="Q485" s="192"/>
      <c r="R485" s="240"/>
      <c r="S485" s="189">
        <f t="shared" si="729"/>
        <v>300</v>
      </c>
      <c r="T485" s="227">
        <f t="shared" si="714"/>
        <v>300</v>
      </c>
      <c r="U485" s="227">
        <f t="shared" si="715"/>
        <v>0</v>
      </c>
      <c r="V485" s="228">
        <f t="shared" si="716"/>
        <v>0</v>
      </c>
      <c r="W485" s="150"/>
    </row>
    <row r="486" spans="1:23" x14ac:dyDescent="0.2">
      <c r="A486" s="336" t="s">
        <v>63</v>
      </c>
      <c r="B486" s="398" t="s">
        <v>408</v>
      </c>
      <c r="C486" s="191">
        <f t="shared" si="708"/>
        <v>2000</v>
      </c>
      <c r="D486" s="192">
        <v>2000</v>
      </c>
      <c r="E486" s="192"/>
      <c r="F486" s="253"/>
      <c r="G486" s="191">
        <f t="shared" si="709"/>
        <v>0</v>
      </c>
      <c r="H486" s="192"/>
      <c r="I486" s="192"/>
      <c r="J486" s="240"/>
      <c r="K486" s="191">
        <f t="shared" si="730"/>
        <v>0</v>
      </c>
      <c r="L486" s="192"/>
      <c r="M486" s="192"/>
      <c r="N486" s="253"/>
      <c r="O486" s="191">
        <f t="shared" si="731"/>
        <v>0</v>
      </c>
      <c r="P486" s="192"/>
      <c r="Q486" s="192"/>
      <c r="R486" s="240"/>
      <c r="S486" s="189">
        <f t="shared" si="729"/>
        <v>2000</v>
      </c>
      <c r="T486" s="227">
        <f t="shared" si="714"/>
        <v>2000</v>
      </c>
      <c r="U486" s="227">
        <f t="shared" si="715"/>
        <v>0</v>
      </c>
      <c r="V486" s="240">
        <f t="shared" si="716"/>
        <v>0</v>
      </c>
    </row>
    <row r="487" spans="1:23" ht="14.25" customHeight="1" x14ac:dyDescent="0.2">
      <c r="A487" s="336" t="s">
        <v>64</v>
      </c>
      <c r="B487" s="343" t="s">
        <v>312</v>
      </c>
      <c r="C487" s="191">
        <f t="shared" si="708"/>
        <v>177900</v>
      </c>
      <c r="D487" s="192">
        <v>177900</v>
      </c>
      <c r="E487" s="192">
        <v>174300</v>
      </c>
      <c r="F487" s="253"/>
      <c r="G487" s="191">
        <f t="shared" si="709"/>
        <v>0</v>
      </c>
      <c r="H487" s="192"/>
      <c r="I487" s="192"/>
      <c r="J487" s="240"/>
      <c r="K487" s="191">
        <f t="shared" si="710"/>
        <v>0</v>
      </c>
      <c r="L487" s="192"/>
      <c r="M487" s="192"/>
      <c r="N487" s="253"/>
      <c r="O487" s="191">
        <f t="shared" si="711"/>
        <v>0</v>
      </c>
      <c r="P487" s="192"/>
      <c r="Q487" s="192"/>
      <c r="R487" s="240"/>
      <c r="S487" s="189">
        <f t="shared" si="729"/>
        <v>177900</v>
      </c>
      <c r="T487" s="227">
        <f t="shared" si="714"/>
        <v>177900</v>
      </c>
      <c r="U487" s="227">
        <f t="shared" si="715"/>
        <v>174300</v>
      </c>
      <c r="V487" s="240">
        <f t="shared" si="716"/>
        <v>0</v>
      </c>
      <c r="W487" s="146"/>
    </row>
    <row r="488" spans="1:23" ht="14.25" customHeight="1" x14ac:dyDescent="0.2">
      <c r="A488" s="336" t="s">
        <v>64</v>
      </c>
      <c r="B488" s="343" t="s">
        <v>489</v>
      </c>
      <c r="C488" s="191">
        <f t="shared" si="708"/>
        <v>5000</v>
      </c>
      <c r="D488" s="192">
        <v>2000</v>
      </c>
      <c r="E488" s="192"/>
      <c r="F488" s="253">
        <v>3000</v>
      </c>
      <c r="G488" s="191">
        <f t="shared" si="709"/>
        <v>250300</v>
      </c>
      <c r="H488" s="192">
        <v>250300</v>
      </c>
      <c r="I488" s="192">
        <v>226000</v>
      </c>
      <c r="J488" s="240"/>
      <c r="K488" s="191"/>
      <c r="L488" s="192"/>
      <c r="M488" s="192"/>
      <c r="N488" s="253"/>
      <c r="O488" s="191"/>
      <c r="P488" s="192"/>
      <c r="Q488" s="192"/>
      <c r="R488" s="240"/>
      <c r="S488" s="189">
        <f t="shared" si="729"/>
        <v>255300</v>
      </c>
      <c r="T488" s="227">
        <f t="shared" si="714"/>
        <v>252300</v>
      </c>
      <c r="U488" s="227">
        <f t="shared" si="715"/>
        <v>226000</v>
      </c>
      <c r="V488" s="228">
        <f t="shared" si="716"/>
        <v>3000</v>
      </c>
      <c r="W488" s="233"/>
    </row>
    <row r="489" spans="1:23" ht="24.75" customHeight="1" x14ac:dyDescent="0.2">
      <c r="A489" s="336" t="s">
        <v>64</v>
      </c>
      <c r="B489" s="398" t="s">
        <v>420</v>
      </c>
      <c r="C489" s="191"/>
      <c r="D489" s="192"/>
      <c r="E489" s="192"/>
      <c r="F489" s="253"/>
      <c r="G489" s="191">
        <f t="shared" si="709"/>
        <v>8848</v>
      </c>
      <c r="H489" s="192">
        <v>8848</v>
      </c>
      <c r="I489" s="192"/>
      <c r="J489" s="240"/>
      <c r="K489" s="191"/>
      <c r="L489" s="192"/>
      <c r="M489" s="192"/>
      <c r="N489" s="253"/>
      <c r="O489" s="191"/>
      <c r="P489" s="192"/>
      <c r="Q489" s="192"/>
      <c r="R489" s="240"/>
      <c r="S489" s="189">
        <f t="shared" si="729"/>
        <v>8848</v>
      </c>
      <c r="T489" s="227">
        <f t="shared" si="714"/>
        <v>8848</v>
      </c>
      <c r="U489" s="227">
        <f t="shared" si="715"/>
        <v>0</v>
      </c>
      <c r="V489" s="228">
        <f t="shared" si="716"/>
        <v>0</v>
      </c>
      <c r="W489" s="233"/>
    </row>
    <row r="490" spans="1:23" ht="14.25" customHeight="1" x14ac:dyDescent="0.2">
      <c r="A490" s="336" t="s">
        <v>71</v>
      </c>
      <c r="B490" s="343" t="s">
        <v>312</v>
      </c>
      <c r="C490" s="191">
        <f t="shared" si="708"/>
        <v>10600</v>
      </c>
      <c r="D490" s="192">
        <v>10600</v>
      </c>
      <c r="E490" s="192">
        <v>10200</v>
      </c>
      <c r="F490" s="253"/>
      <c r="G490" s="191">
        <f t="shared" si="709"/>
        <v>0</v>
      </c>
      <c r="H490" s="192"/>
      <c r="I490" s="192"/>
      <c r="J490" s="240"/>
      <c r="K490" s="191">
        <f t="shared" si="710"/>
        <v>0</v>
      </c>
      <c r="L490" s="192"/>
      <c r="M490" s="192"/>
      <c r="N490" s="253"/>
      <c r="O490" s="191">
        <f t="shared" si="711"/>
        <v>0</v>
      </c>
      <c r="P490" s="192"/>
      <c r="Q490" s="192"/>
      <c r="R490" s="240"/>
      <c r="S490" s="189">
        <f t="shared" si="729"/>
        <v>10600</v>
      </c>
      <c r="T490" s="227">
        <f t="shared" si="714"/>
        <v>10600</v>
      </c>
      <c r="U490" s="227">
        <f t="shared" si="715"/>
        <v>10200</v>
      </c>
      <c r="V490" s="228">
        <f t="shared" si="716"/>
        <v>0</v>
      </c>
      <c r="W490" s="150"/>
    </row>
    <row r="491" spans="1:23" ht="14.25" customHeight="1" x14ac:dyDescent="0.2">
      <c r="A491" s="336" t="s">
        <v>67</v>
      </c>
      <c r="B491" s="343" t="s">
        <v>312</v>
      </c>
      <c r="C491" s="191">
        <f t="shared" si="708"/>
        <v>40400</v>
      </c>
      <c r="D491" s="192">
        <v>40400</v>
      </c>
      <c r="E491" s="192">
        <v>39400</v>
      </c>
      <c r="F491" s="253"/>
      <c r="G491" s="191">
        <f t="shared" si="709"/>
        <v>0</v>
      </c>
      <c r="H491" s="192"/>
      <c r="I491" s="192"/>
      <c r="J491" s="240"/>
      <c r="K491" s="191">
        <f t="shared" si="710"/>
        <v>0</v>
      </c>
      <c r="L491" s="192"/>
      <c r="M491" s="192"/>
      <c r="N491" s="253"/>
      <c r="O491" s="191">
        <f t="shared" si="711"/>
        <v>0</v>
      </c>
      <c r="P491" s="192"/>
      <c r="Q491" s="192"/>
      <c r="R491" s="240"/>
      <c r="S491" s="189">
        <f t="shared" si="729"/>
        <v>40400</v>
      </c>
      <c r="T491" s="227">
        <f t="shared" si="714"/>
        <v>40400</v>
      </c>
      <c r="U491" s="227">
        <f t="shared" si="715"/>
        <v>39400</v>
      </c>
      <c r="V491" s="228">
        <f t="shared" si="716"/>
        <v>0</v>
      </c>
      <c r="W491" s="150"/>
    </row>
    <row r="492" spans="1:23" ht="14.25" customHeight="1" x14ac:dyDescent="0.2">
      <c r="A492" s="336" t="s">
        <v>68</v>
      </c>
      <c r="B492" s="343" t="s">
        <v>312</v>
      </c>
      <c r="C492" s="191">
        <f t="shared" si="708"/>
        <v>134000</v>
      </c>
      <c r="D492" s="192">
        <v>134000</v>
      </c>
      <c r="E492" s="192">
        <v>131400</v>
      </c>
      <c r="F492" s="253"/>
      <c r="G492" s="191">
        <f t="shared" si="709"/>
        <v>0</v>
      </c>
      <c r="H492" s="192"/>
      <c r="I492" s="192"/>
      <c r="J492" s="240"/>
      <c r="K492" s="191">
        <f t="shared" si="710"/>
        <v>0</v>
      </c>
      <c r="L492" s="192"/>
      <c r="M492" s="192"/>
      <c r="N492" s="253"/>
      <c r="O492" s="191">
        <f t="shared" si="711"/>
        <v>0</v>
      </c>
      <c r="P492" s="192"/>
      <c r="Q492" s="192"/>
      <c r="R492" s="240"/>
      <c r="S492" s="189">
        <f t="shared" si="729"/>
        <v>134000</v>
      </c>
      <c r="T492" s="227">
        <f t="shared" si="714"/>
        <v>134000</v>
      </c>
      <c r="U492" s="227">
        <f t="shared" si="715"/>
        <v>131400</v>
      </c>
      <c r="V492" s="228">
        <f t="shared" si="716"/>
        <v>0</v>
      </c>
      <c r="W492" s="150"/>
    </row>
    <row r="493" spans="1:23" ht="14.25" customHeight="1" x14ac:dyDescent="0.2">
      <c r="A493" s="336" t="s">
        <v>69</v>
      </c>
      <c r="B493" s="343" t="s">
        <v>312</v>
      </c>
      <c r="C493" s="191">
        <f>D493+F493</f>
        <v>174200</v>
      </c>
      <c r="D493" s="192">
        <v>174200</v>
      </c>
      <c r="E493" s="192">
        <v>170200</v>
      </c>
      <c r="F493" s="253"/>
      <c r="G493" s="191">
        <f>H493+J493</f>
        <v>0</v>
      </c>
      <c r="H493" s="192"/>
      <c r="I493" s="192"/>
      <c r="J493" s="240"/>
      <c r="K493" s="191">
        <f>L493+N493</f>
        <v>0</v>
      </c>
      <c r="L493" s="192"/>
      <c r="M493" s="192"/>
      <c r="N493" s="253"/>
      <c r="O493" s="191">
        <f>P493+R493</f>
        <v>0</v>
      </c>
      <c r="P493" s="192"/>
      <c r="Q493" s="192"/>
      <c r="R493" s="240"/>
      <c r="S493" s="189">
        <f t="shared" si="729"/>
        <v>174200</v>
      </c>
      <c r="T493" s="227">
        <f t="shared" si="714"/>
        <v>174200</v>
      </c>
      <c r="U493" s="227">
        <f t="shared" si="715"/>
        <v>170200</v>
      </c>
      <c r="V493" s="228">
        <f t="shared" si="716"/>
        <v>0</v>
      </c>
      <c r="W493" s="150"/>
    </row>
    <row r="494" spans="1:23" ht="15.75" customHeight="1" x14ac:dyDescent="0.2">
      <c r="A494" s="336"/>
      <c r="B494" s="352" t="s">
        <v>159</v>
      </c>
      <c r="C494" s="183">
        <f t="shared" si="708"/>
        <v>10200</v>
      </c>
      <c r="D494" s="188">
        <f>SUM(D495:D496)</f>
        <v>8900</v>
      </c>
      <c r="E494" s="188">
        <f>SUM(E495:E495)</f>
        <v>0</v>
      </c>
      <c r="F494" s="252">
        <f>SUM(F495:F495)</f>
        <v>1300</v>
      </c>
      <c r="G494" s="246">
        <f t="shared" si="709"/>
        <v>0</v>
      </c>
      <c r="H494" s="188">
        <f>SUM(H495:H495)</f>
        <v>0</v>
      </c>
      <c r="I494" s="188">
        <f>SUM(I495:I495)</f>
        <v>0</v>
      </c>
      <c r="J494" s="188">
        <f>SUM(J495:J495)</f>
        <v>0</v>
      </c>
      <c r="K494" s="183">
        <f t="shared" si="710"/>
        <v>0</v>
      </c>
      <c r="L494" s="188">
        <f>SUM(L495:L495)</f>
        <v>0</v>
      </c>
      <c r="M494" s="188">
        <f>SUM(M495:M495)</f>
        <v>0</v>
      </c>
      <c r="N494" s="252">
        <f>SUM(N495:N495)</f>
        <v>0</v>
      </c>
      <c r="O494" s="246">
        <f t="shared" si="711"/>
        <v>0</v>
      </c>
      <c r="P494" s="188">
        <f>SUM(P495:P495)</f>
        <v>0</v>
      </c>
      <c r="Q494" s="188">
        <f>SUM(Q495:Q495)</f>
        <v>0</v>
      </c>
      <c r="R494" s="188">
        <f>SUM(R495:R495)</f>
        <v>0</v>
      </c>
      <c r="S494" s="183">
        <f t="shared" si="712"/>
        <v>10200</v>
      </c>
      <c r="T494" s="188">
        <f>SUM(T495:T496)</f>
        <v>8900</v>
      </c>
      <c r="U494" s="188">
        <f t="shared" ref="U494:V494" si="732">SUM(U495:U496)</f>
        <v>0</v>
      </c>
      <c r="V494" s="252">
        <f t="shared" si="732"/>
        <v>1300</v>
      </c>
    </row>
    <row r="495" spans="1:23" ht="15.75" customHeight="1" x14ac:dyDescent="0.2">
      <c r="A495" s="336" t="s">
        <v>62</v>
      </c>
      <c r="B495" s="343" t="s">
        <v>320</v>
      </c>
      <c r="C495" s="185">
        <f t="shared" si="708"/>
        <v>9900</v>
      </c>
      <c r="D495" s="187">
        <v>8600</v>
      </c>
      <c r="E495" s="187"/>
      <c r="F495" s="230">
        <v>1300</v>
      </c>
      <c r="G495" s="221">
        <f t="shared" si="709"/>
        <v>0</v>
      </c>
      <c r="H495" s="187"/>
      <c r="I495" s="187"/>
      <c r="J495" s="327"/>
      <c r="K495" s="185">
        <f t="shared" si="710"/>
        <v>0</v>
      </c>
      <c r="L495" s="187"/>
      <c r="M495" s="187"/>
      <c r="N495" s="230"/>
      <c r="O495" s="221">
        <f t="shared" si="711"/>
        <v>0</v>
      </c>
      <c r="P495" s="192"/>
      <c r="Q495" s="192"/>
      <c r="R495" s="253"/>
      <c r="S495" s="185">
        <f t="shared" si="712"/>
        <v>9900</v>
      </c>
      <c r="T495" s="227">
        <f>D495+H495+L495+P495</f>
        <v>8600</v>
      </c>
      <c r="U495" s="227">
        <f t="shared" ref="U495:V495" si="733">E495+I495+M495+Q495</f>
        <v>0</v>
      </c>
      <c r="V495" s="228">
        <f t="shared" si="733"/>
        <v>1300</v>
      </c>
      <c r="W495" s="233"/>
    </row>
    <row r="496" spans="1:23" ht="15.75" customHeight="1" x14ac:dyDescent="0.2">
      <c r="A496" s="336" t="s">
        <v>62</v>
      </c>
      <c r="B496" s="398" t="s">
        <v>567</v>
      </c>
      <c r="C496" s="185">
        <f t="shared" si="708"/>
        <v>300</v>
      </c>
      <c r="D496" s="187">
        <v>300</v>
      </c>
      <c r="E496" s="187"/>
      <c r="F496" s="230"/>
      <c r="G496" s="221"/>
      <c r="H496" s="187"/>
      <c r="I496" s="187"/>
      <c r="J496" s="327"/>
      <c r="K496" s="185"/>
      <c r="L496" s="187"/>
      <c r="M496" s="187"/>
      <c r="N496" s="230"/>
      <c r="O496" s="221"/>
      <c r="P496" s="192"/>
      <c r="Q496" s="192"/>
      <c r="R496" s="253"/>
      <c r="S496" s="185">
        <f t="shared" ref="S496" si="734">T496+V496</f>
        <v>300</v>
      </c>
      <c r="T496" s="227">
        <f>D496+H496+L496+P496</f>
        <v>300</v>
      </c>
      <c r="U496" s="227">
        <f t="shared" ref="U496" si="735">E496+I496+M496+Q496</f>
        <v>0</v>
      </c>
      <c r="V496" s="228">
        <f t="shared" ref="V496" si="736">F496+J496+N496+R496</f>
        <v>0</v>
      </c>
      <c r="W496" s="233"/>
    </row>
    <row r="497" spans="1:23" ht="15.75" customHeight="1" x14ac:dyDescent="0.2">
      <c r="A497" s="336"/>
      <c r="B497" s="352" t="s">
        <v>162</v>
      </c>
      <c r="C497" s="183">
        <f t="shared" si="708"/>
        <v>32200</v>
      </c>
      <c r="D497" s="188">
        <f>SUM(D498:D500)</f>
        <v>10200</v>
      </c>
      <c r="E497" s="188">
        <f>SUM(E498:E500)</f>
        <v>0</v>
      </c>
      <c r="F497" s="252">
        <f>SUM(F498:F500)</f>
        <v>22000</v>
      </c>
      <c r="G497" s="246">
        <f t="shared" si="709"/>
        <v>0</v>
      </c>
      <c r="H497" s="188">
        <f>SUM(H498:H500)</f>
        <v>0</v>
      </c>
      <c r="I497" s="188">
        <f>SUM(I498:I500)</f>
        <v>0</v>
      </c>
      <c r="J497" s="188">
        <f>SUM(J498:J500)</f>
        <v>0</v>
      </c>
      <c r="K497" s="183">
        <f t="shared" si="710"/>
        <v>0</v>
      </c>
      <c r="L497" s="188">
        <f>SUM(L498:L500)</f>
        <v>0</v>
      </c>
      <c r="M497" s="188">
        <f>SUM(M498:M500)</f>
        <v>0</v>
      </c>
      <c r="N497" s="252">
        <f>SUM(N498:N500)</f>
        <v>0</v>
      </c>
      <c r="O497" s="246">
        <f t="shared" si="711"/>
        <v>0</v>
      </c>
      <c r="P497" s="188">
        <f>SUM(P498:P500)</f>
        <v>0</v>
      </c>
      <c r="Q497" s="188">
        <f>SUM(Q498:Q500)</f>
        <v>0</v>
      </c>
      <c r="R497" s="188">
        <f>SUM(R498:R500)</f>
        <v>0</v>
      </c>
      <c r="S497" s="183">
        <f t="shared" si="712"/>
        <v>32200</v>
      </c>
      <c r="T497" s="188">
        <f>SUM(T498:T500)</f>
        <v>10200</v>
      </c>
      <c r="U497" s="188">
        <f>SUM(U498:U500)</f>
        <v>0</v>
      </c>
      <c r="V497" s="252">
        <f>SUM(V498:V500)</f>
        <v>22000</v>
      </c>
    </row>
    <row r="498" spans="1:23" ht="15.75" customHeight="1" x14ac:dyDescent="0.2">
      <c r="A498" s="336" t="s">
        <v>62</v>
      </c>
      <c r="B498" s="343" t="s">
        <v>320</v>
      </c>
      <c r="C498" s="185">
        <f t="shared" si="708"/>
        <v>29900</v>
      </c>
      <c r="D498" s="187">
        <v>7900</v>
      </c>
      <c r="E498" s="187"/>
      <c r="F498" s="230">
        <v>22000</v>
      </c>
      <c r="G498" s="221">
        <f t="shared" si="709"/>
        <v>0</v>
      </c>
      <c r="H498" s="187"/>
      <c r="I498" s="187"/>
      <c r="J498" s="327"/>
      <c r="K498" s="185">
        <f t="shared" si="710"/>
        <v>0</v>
      </c>
      <c r="L498" s="187"/>
      <c r="M498" s="187"/>
      <c r="N498" s="230"/>
      <c r="O498" s="221">
        <f t="shared" si="711"/>
        <v>0</v>
      </c>
      <c r="P498" s="192"/>
      <c r="Q498" s="192"/>
      <c r="R498" s="253"/>
      <c r="S498" s="185">
        <f t="shared" si="712"/>
        <v>29900</v>
      </c>
      <c r="T498" s="227">
        <f>D498+H498+L498+P498</f>
        <v>7900</v>
      </c>
      <c r="U498" s="227">
        <f t="shared" ref="U498" si="737">E498+I498+M498+Q498</f>
        <v>0</v>
      </c>
      <c r="V498" s="228">
        <f t="shared" ref="V498" si="738">F498+J498+N498+R498</f>
        <v>22000</v>
      </c>
      <c r="W498" s="150"/>
    </row>
    <row r="499" spans="1:23" ht="15" customHeight="1" x14ac:dyDescent="0.2">
      <c r="A499" s="336" t="s">
        <v>62</v>
      </c>
      <c r="B499" s="398" t="s">
        <v>567</v>
      </c>
      <c r="C499" s="185">
        <f t="shared" si="708"/>
        <v>200</v>
      </c>
      <c r="D499" s="192">
        <v>200</v>
      </c>
      <c r="E499" s="192"/>
      <c r="F499" s="253"/>
      <c r="G499" s="191">
        <f t="shared" si="709"/>
        <v>0</v>
      </c>
      <c r="H499" s="192"/>
      <c r="I499" s="192"/>
      <c r="J499" s="240"/>
      <c r="K499" s="191"/>
      <c r="L499" s="192"/>
      <c r="M499" s="192"/>
      <c r="N499" s="253"/>
      <c r="O499" s="191"/>
      <c r="P499" s="192"/>
      <c r="Q499" s="192"/>
      <c r="R499" s="240"/>
      <c r="S499" s="191">
        <f t="shared" ref="S499" si="739">T499+V499</f>
        <v>200</v>
      </c>
      <c r="T499" s="227">
        <f t="shared" ref="T499" si="740">D499+H499+L499+P499</f>
        <v>200</v>
      </c>
      <c r="U499" s="227">
        <f t="shared" ref="U499:U500" si="741">E499+I499+M499+Q499</f>
        <v>0</v>
      </c>
      <c r="V499" s="228">
        <f t="shared" ref="V499:V500" si="742">F499+J499+N499+R499</f>
        <v>0</v>
      </c>
      <c r="W499" s="150"/>
    </row>
    <row r="500" spans="1:23" ht="15.75" customHeight="1" x14ac:dyDescent="0.2">
      <c r="A500" s="336" t="s">
        <v>69</v>
      </c>
      <c r="B500" s="343" t="s">
        <v>320</v>
      </c>
      <c r="C500" s="185">
        <f t="shared" si="708"/>
        <v>2100</v>
      </c>
      <c r="D500" s="187">
        <v>2100</v>
      </c>
      <c r="E500" s="187"/>
      <c r="F500" s="230"/>
      <c r="G500" s="221">
        <f t="shared" si="709"/>
        <v>0</v>
      </c>
      <c r="H500" s="187"/>
      <c r="I500" s="187"/>
      <c r="J500" s="327"/>
      <c r="K500" s="185">
        <f t="shared" si="710"/>
        <v>0</v>
      </c>
      <c r="L500" s="187"/>
      <c r="M500" s="187"/>
      <c r="N500" s="230"/>
      <c r="O500" s="221">
        <f t="shared" si="711"/>
        <v>0</v>
      </c>
      <c r="P500" s="192"/>
      <c r="Q500" s="192"/>
      <c r="R500" s="253"/>
      <c r="S500" s="185">
        <f t="shared" si="712"/>
        <v>2100</v>
      </c>
      <c r="T500" s="227">
        <f>D500+H500+L500+P500</f>
        <v>2100</v>
      </c>
      <c r="U500" s="227">
        <f t="shared" si="741"/>
        <v>0</v>
      </c>
      <c r="V500" s="240">
        <f t="shared" si="742"/>
        <v>0</v>
      </c>
    </row>
    <row r="501" spans="1:23" ht="15.75" customHeight="1" x14ac:dyDescent="0.2">
      <c r="A501" s="336"/>
      <c r="B501" s="352" t="s">
        <v>163</v>
      </c>
      <c r="C501" s="183">
        <f t="shared" si="708"/>
        <v>16300</v>
      </c>
      <c r="D501" s="188">
        <f>SUM(D502:D504)</f>
        <v>14800</v>
      </c>
      <c r="E501" s="188">
        <f>SUM(E502:E504)</f>
        <v>0</v>
      </c>
      <c r="F501" s="252">
        <f>SUM(F502:F504)</f>
        <v>1500</v>
      </c>
      <c r="G501" s="246">
        <f t="shared" si="709"/>
        <v>0</v>
      </c>
      <c r="H501" s="188">
        <f>SUM(H502:H504)</f>
        <v>0</v>
      </c>
      <c r="I501" s="188">
        <f>SUM(I502:I504)</f>
        <v>0</v>
      </c>
      <c r="J501" s="188">
        <f>SUM(J502:J504)</f>
        <v>0</v>
      </c>
      <c r="K501" s="183">
        <f t="shared" si="710"/>
        <v>0</v>
      </c>
      <c r="L501" s="188">
        <f>SUM(L502:L504)</f>
        <v>0</v>
      </c>
      <c r="M501" s="188">
        <f>SUM(M502:M504)</f>
        <v>0</v>
      </c>
      <c r="N501" s="252">
        <f>SUM(N502:N504)</f>
        <v>0</v>
      </c>
      <c r="O501" s="246">
        <f t="shared" si="711"/>
        <v>0</v>
      </c>
      <c r="P501" s="188">
        <f>SUM(P502:P504)</f>
        <v>0</v>
      </c>
      <c r="Q501" s="188">
        <f>SUM(Q502:Q504)</f>
        <v>0</v>
      </c>
      <c r="R501" s="188">
        <f>SUM(R502:R504)</f>
        <v>0</v>
      </c>
      <c r="S501" s="183">
        <f t="shared" si="712"/>
        <v>16300</v>
      </c>
      <c r="T501" s="188">
        <f>SUM(T502:T504)</f>
        <v>14800</v>
      </c>
      <c r="U501" s="188">
        <f>SUM(U502:U504)</f>
        <v>0</v>
      </c>
      <c r="V501" s="252">
        <f>SUM(V502:V504)</f>
        <v>1500</v>
      </c>
    </row>
    <row r="502" spans="1:23" ht="15.75" customHeight="1" x14ac:dyDescent="0.2">
      <c r="A502" s="336" t="s">
        <v>62</v>
      </c>
      <c r="B502" s="343" t="s">
        <v>320</v>
      </c>
      <c r="C502" s="185">
        <f t="shared" si="708"/>
        <v>11000</v>
      </c>
      <c r="D502" s="187">
        <v>9500</v>
      </c>
      <c r="E502" s="187"/>
      <c r="F502" s="230">
        <v>1500</v>
      </c>
      <c r="G502" s="221">
        <f t="shared" si="709"/>
        <v>0</v>
      </c>
      <c r="H502" s="187"/>
      <c r="I502" s="187"/>
      <c r="J502" s="327"/>
      <c r="K502" s="185">
        <f t="shared" si="710"/>
        <v>0</v>
      </c>
      <c r="L502" s="187"/>
      <c r="M502" s="187"/>
      <c r="N502" s="230"/>
      <c r="O502" s="221">
        <f t="shared" si="711"/>
        <v>0</v>
      </c>
      <c r="P502" s="192"/>
      <c r="Q502" s="192"/>
      <c r="R502" s="253"/>
      <c r="S502" s="185">
        <f t="shared" si="712"/>
        <v>11000</v>
      </c>
      <c r="T502" s="227">
        <f>D502+H502+L502+P502</f>
        <v>9500</v>
      </c>
      <c r="U502" s="227">
        <f t="shared" ref="U502" si="743">E502+I502+M502+Q502</f>
        <v>0</v>
      </c>
      <c r="V502" s="240">
        <f t="shared" ref="V502" si="744">F502+J502+N502+R502</f>
        <v>1500</v>
      </c>
    </row>
    <row r="503" spans="1:23" ht="15" customHeight="1" x14ac:dyDescent="0.2">
      <c r="A503" s="336" t="s">
        <v>62</v>
      </c>
      <c r="B503" s="398" t="s">
        <v>567</v>
      </c>
      <c r="C503" s="185">
        <f t="shared" si="708"/>
        <v>300</v>
      </c>
      <c r="D503" s="192">
        <v>300</v>
      </c>
      <c r="E503" s="192"/>
      <c r="F503" s="253"/>
      <c r="G503" s="191">
        <f t="shared" ref="G503" si="745">H503+J503</f>
        <v>0</v>
      </c>
      <c r="H503" s="192"/>
      <c r="I503" s="192"/>
      <c r="J503" s="240"/>
      <c r="K503" s="191"/>
      <c r="L503" s="192"/>
      <c r="M503" s="192"/>
      <c r="N503" s="253"/>
      <c r="O503" s="191"/>
      <c r="P503" s="192"/>
      <c r="Q503" s="192"/>
      <c r="R503" s="240"/>
      <c r="S503" s="191">
        <f t="shared" si="712"/>
        <v>300</v>
      </c>
      <c r="T503" s="227">
        <f t="shared" ref="T503" si="746">D503+H503+L503+P503</f>
        <v>300</v>
      </c>
      <c r="U503" s="227">
        <f t="shared" ref="U503:U504" si="747">E503+I503+M503+Q503</f>
        <v>0</v>
      </c>
      <c r="V503" s="228">
        <f t="shared" ref="V503:V504" si="748">F503+J503+N503+R503</f>
        <v>0</v>
      </c>
      <c r="W503" s="150"/>
    </row>
    <row r="504" spans="1:23" ht="15.75" customHeight="1" x14ac:dyDescent="0.2">
      <c r="A504" s="336" t="s">
        <v>69</v>
      </c>
      <c r="B504" s="343" t="s">
        <v>320</v>
      </c>
      <c r="C504" s="185">
        <f t="shared" si="708"/>
        <v>5000</v>
      </c>
      <c r="D504" s="187">
        <v>5000</v>
      </c>
      <c r="E504" s="187"/>
      <c r="F504" s="230"/>
      <c r="G504" s="221">
        <f t="shared" si="709"/>
        <v>0</v>
      </c>
      <c r="H504" s="187"/>
      <c r="I504" s="187"/>
      <c r="J504" s="327"/>
      <c r="K504" s="185">
        <f t="shared" si="710"/>
        <v>0</v>
      </c>
      <c r="L504" s="187"/>
      <c r="M504" s="187"/>
      <c r="N504" s="230"/>
      <c r="O504" s="221">
        <f t="shared" si="711"/>
        <v>0</v>
      </c>
      <c r="P504" s="192"/>
      <c r="Q504" s="192"/>
      <c r="R504" s="253"/>
      <c r="S504" s="185">
        <f t="shared" si="712"/>
        <v>5000</v>
      </c>
      <c r="T504" s="227">
        <f>D504+H504+L504+P504</f>
        <v>5000</v>
      </c>
      <c r="U504" s="227">
        <f t="shared" si="747"/>
        <v>0</v>
      </c>
      <c r="V504" s="240">
        <f t="shared" si="748"/>
        <v>0</v>
      </c>
    </row>
    <row r="505" spans="1:23" ht="15.75" customHeight="1" x14ac:dyDescent="0.2">
      <c r="A505" s="336"/>
      <c r="B505" s="352" t="s">
        <v>164</v>
      </c>
      <c r="C505" s="183">
        <f t="shared" si="708"/>
        <v>8300</v>
      </c>
      <c r="D505" s="188">
        <f>SUM(D506:D508)</f>
        <v>8300</v>
      </c>
      <c r="E505" s="188">
        <f>SUM(E506:E508)</f>
        <v>0</v>
      </c>
      <c r="F505" s="252">
        <f>SUM(F506:F508)</f>
        <v>0</v>
      </c>
      <c r="G505" s="246">
        <f t="shared" si="709"/>
        <v>0</v>
      </c>
      <c r="H505" s="188">
        <f>SUM(H506:H508)</f>
        <v>0</v>
      </c>
      <c r="I505" s="188">
        <f>SUM(I506:I508)</f>
        <v>0</v>
      </c>
      <c r="J505" s="188">
        <f>SUM(J506:J508)</f>
        <v>0</v>
      </c>
      <c r="K505" s="183">
        <f t="shared" si="710"/>
        <v>0</v>
      </c>
      <c r="L505" s="188">
        <f>SUM(L506:L508)</f>
        <v>0</v>
      </c>
      <c r="M505" s="188">
        <f>SUM(M506:M508)</f>
        <v>0</v>
      </c>
      <c r="N505" s="252">
        <f>SUM(N506:N508)</f>
        <v>0</v>
      </c>
      <c r="O505" s="246">
        <f t="shared" si="711"/>
        <v>0</v>
      </c>
      <c r="P505" s="188">
        <f>SUM(P506:P508)</f>
        <v>0</v>
      </c>
      <c r="Q505" s="188">
        <f>SUM(Q506:Q508)</f>
        <v>0</v>
      </c>
      <c r="R505" s="188">
        <f>SUM(R506:R508)</f>
        <v>0</v>
      </c>
      <c r="S505" s="183">
        <f t="shared" si="712"/>
        <v>8300</v>
      </c>
      <c r="T505" s="188">
        <f>SUM(T506:T508)</f>
        <v>8300</v>
      </c>
      <c r="U505" s="188">
        <f>SUM(U506:U508)</f>
        <v>0</v>
      </c>
      <c r="V505" s="252">
        <f>SUM(V506:V508)</f>
        <v>0</v>
      </c>
    </row>
    <row r="506" spans="1:23" ht="15.75" customHeight="1" x14ac:dyDescent="0.2">
      <c r="A506" s="336" t="s">
        <v>62</v>
      </c>
      <c r="B506" s="343" t="s">
        <v>320</v>
      </c>
      <c r="C506" s="185">
        <f t="shared" si="708"/>
        <v>4200</v>
      </c>
      <c r="D506" s="187">
        <v>4200</v>
      </c>
      <c r="E506" s="187"/>
      <c r="F506" s="230"/>
      <c r="G506" s="221">
        <f t="shared" si="709"/>
        <v>0</v>
      </c>
      <c r="H506" s="187"/>
      <c r="I506" s="187"/>
      <c r="J506" s="327"/>
      <c r="K506" s="185">
        <f t="shared" si="710"/>
        <v>0</v>
      </c>
      <c r="L506" s="187"/>
      <c r="M506" s="187"/>
      <c r="N506" s="230"/>
      <c r="O506" s="221">
        <f t="shared" si="711"/>
        <v>0</v>
      </c>
      <c r="P506" s="192"/>
      <c r="Q506" s="192"/>
      <c r="R506" s="253"/>
      <c r="S506" s="185">
        <f t="shared" si="712"/>
        <v>4200</v>
      </c>
      <c r="T506" s="227">
        <f>D506+H506+L506+P506</f>
        <v>4200</v>
      </c>
      <c r="U506" s="227">
        <f t="shared" ref="U506" si="749">E506+I506+M506+Q506</f>
        <v>0</v>
      </c>
      <c r="V506" s="240">
        <f t="shared" ref="V506" si="750">F506+J506+N506+R506</f>
        <v>0</v>
      </c>
    </row>
    <row r="507" spans="1:23" ht="15" customHeight="1" x14ac:dyDescent="0.2">
      <c r="A507" s="336" t="s">
        <v>62</v>
      </c>
      <c r="B507" s="398" t="s">
        <v>567</v>
      </c>
      <c r="C507" s="191">
        <f t="shared" si="708"/>
        <v>300</v>
      </c>
      <c r="D507" s="192">
        <v>300</v>
      </c>
      <c r="E507" s="192"/>
      <c r="F507" s="253"/>
      <c r="G507" s="191">
        <f t="shared" si="709"/>
        <v>0</v>
      </c>
      <c r="H507" s="192"/>
      <c r="I507" s="192"/>
      <c r="J507" s="240"/>
      <c r="K507" s="191"/>
      <c r="L507" s="192"/>
      <c r="M507" s="192"/>
      <c r="N507" s="253"/>
      <c r="O507" s="191"/>
      <c r="P507" s="192"/>
      <c r="Q507" s="192"/>
      <c r="R507" s="240"/>
      <c r="S507" s="191">
        <f t="shared" ref="S507" si="751">T507+V507</f>
        <v>300</v>
      </c>
      <c r="T507" s="227">
        <f t="shared" ref="T507" si="752">D507+H507+L507+P507</f>
        <v>300</v>
      </c>
      <c r="U507" s="227">
        <f t="shared" ref="U507:U508" si="753">E507+I507+M507+Q507</f>
        <v>0</v>
      </c>
      <c r="V507" s="228">
        <f t="shared" ref="V507:V508" si="754">F507+J507+N507+R507</f>
        <v>0</v>
      </c>
      <c r="W507" s="150"/>
    </row>
    <row r="508" spans="1:23" ht="15.75" customHeight="1" x14ac:dyDescent="0.2">
      <c r="A508" s="336" t="s">
        <v>69</v>
      </c>
      <c r="B508" s="343" t="s">
        <v>320</v>
      </c>
      <c r="C508" s="185">
        <f t="shared" si="708"/>
        <v>3800</v>
      </c>
      <c r="D508" s="187">
        <v>3800</v>
      </c>
      <c r="E508" s="187"/>
      <c r="F508" s="230"/>
      <c r="G508" s="221">
        <f t="shared" si="709"/>
        <v>0</v>
      </c>
      <c r="H508" s="187"/>
      <c r="I508" s="187"/>
      <c r="J508" s="327"/>
      <c r="K508" s="185">
        <f t="shared" si="710"/>
        <v>0</v>
      </c>
      <c r="L508" s="187"/>
      <c r="M508" s="187"/>
      <c r="N508" s="230"/>
      <c r="O508" s="221">
        <f t="shared" si="711"/>
        <v>0</v>
      </c>
      <c r="P508" s="192"/>
      <c r="Q508" s="192"/>
      <c r="R508" s="253"/>
      <c r="S508" s="185">
        <f t="shared" si="712"/>
        <v>3800</v>
      </c>
      <c r="T508" s="227">
        <f>D508+H508+L508+P508</f>
        <v>3800</v>
      </c>
      <c r="U508" s="227">
        <f t="shared" si="753"/>
        <v>0</v>
      </c>
      <c r="V508" s="228">
        <f t="shared" si="754"/>
        <v>0</v>
      </c>
      <c r="W508" s="150"/>
    </row>
    <row r="509" spans="1:23" ht="15.75" customHeight="1" x14ac:dyDescent="0.2">
      <c r="A509" s="336"/>
      <c r="B509" s="352" t="s">
        <v>165</v>
      </c>
      <c r="C509" s="183">
        <f t="shared" si="708"/>
        <v>11600</v>
      </c>
      <c r="D509" s="188">
        <f>SUM(D510:D512)</f>
        <v>11600</v>
      </c>
      <c r="E509" s="188">
        <f>SUM(E510:E512)</f>
        <v>0</v>
      </c>
      <c r="F509" s="252">
        <f>SUM(F510:F512)</f>
        <v>0</v>
      </c>
      <c r="G509" s="246">
        <f t="shared" si="709"/>
        <v>0</v>
      </c>
      <c r="H509" s="188">
        <f>SUM(H510:H512)</f>
        <v>0</v>
      </c>
      <c r="I509" s="188">
        <f>SUM(I510:I512)</f>
        <v>0</v>
      </c>
      <c r="J509" s="188">
        <f>SUM(J510:J512)</f>
        <v>0</v>
      </c>
      <c r="K509" s="183">
        <f t="shared" si="710"/>
        <v>0</v>
      </c>
      <c r="L509" s="188">
        <f>SUM(L510:L512)</f>
        <v>0</v>
      </c>
      <c r="M509" s="188">
        <f>SUM(M510:M512)</f>
        <v>0</v>
      </c>
      <c r="N509" s="252">
        <f>SUM(N510:N512)</f>
        <v>0</v>
      </c>
      <c r="O509" s="246">
        <f t="shared" si="711"/>
        <v>0</v>
      </c>
      <c r="P509" s="188">
        <f>SUM(P510:P512)</f>
        <v>0</v>
      </c>
      <c r="Q509" s="188">
        <f>SUM(Q510:Q512)</f>
        <v>0</v>
      </c>
      <c r="R509" s="188">
        <f>SUM(R510:R512)</f>
        <v>0</v>
      </c>
      <c r="S509" s="183">
        <f t="shared" si="712"/>
        <v>11600</v>
      </c>
      <c r="T509" s="188">
        <f>SUM(T510:T512)</f>
        <v>11600</v>
      </c>
      <c r="U509" s="188">
        <f>SUM(U510:U512)</f>
        <v>0</v>
      </c>
      <c r="V509" s="252">
        <f>SUM(V510:V512)</f>
        <v>0</v>
      </c>
    </row>
    <row r="510" spans="1:23" ht="15.75" customHeight="1" x14ac:dyDescent="0.2">
      <c r="A510" s="336" t="s">
        <v>62</v>
      </c>
      <c r="B510" s="343" t="s">
        <v>320</v>
      </c>
      <c r="C510" s="185">
        <f t="shared" si="708"/>
        <v>6500</v>
      </c>
      <c r="D510" s="187">
        <v>6500</v>
      </c>
      <c r="E510" s="187"/>
      <c r="F510" s="230"/>
      <c r="G510" s="221">
        <f t="shared" si="709"/>
        <v>0</v>
      </c>
      <c r="H510" s="187"/>
      <c r="I510" s="187"/>
      <c r="J510" s="327"/>
      <c r="K510" s="185">
        <f t="shared" si="710"/>
        <v>0</v>
      </c>
      <c r="L510" s="187"/>
      <c r="M510" s="187"/>
      <c r="N510" s="230"/>
      <c r="O510" s="221">
        <f t="shared" si="711"/>
        <v>0</v>
      </c>
      <c r="P510" s="192"/>
      <c r="Q510" s="192"/>
      <c r="R510" s="253"/>
      <c r="S510" s="185">
        <f t="shared" si="712"/>
        <v>6500</v>
      </c>
      <c r="T510" s="227">
        <f>D510+H510+L510+P510</f>
        <v>6500</v>
      </c>
      <c r="U510" s="227">
        <f t="shared" ref="U510" si="755">E510+I510+M510+Q510</f>
        <v>0</v>
      </c>
      <c r="V510" s="228">
        <f t="shared" ref="V510" si="756">F510+J510+N510+R510</f>
        <v>0</v>
      </c>
      <c r="W510" s="150"/>
    </row>
    <row r="511" spans="1:23" ht="15" customHeight="1" x14ac:dyDescent="0.2">
      <c r="A511" s="336" t="s">
        <v>62</v>
      </c>
      <c r="B511" s="398" t="s">
        <v>567</v>
      </c>
      <c r="C511" s="191">
        <f t="shared" si="708"/>
        <v>300</v>
      </c>
      <c r="D511" s="192">
        <v>300</v>
      </c>
      <c r="E511" s="192"/>
      <c r="F511" s="253"/>
      <c r="G511" s="191">
        <f t="shared" si="709"/>
        <v>0</v>
      </c>
      <c r="H511" s="192"/>
      <c r="I511" s="192"/>
      <c r="J511" s="240"/>
      <c r="K511" s="191"/>
      <c r="L511" s="192"/>
      <c r="M511" s="192"/>
      <c r="N511" s="253"/>
      <c r="O511" s="191"/>
      <c r="P511" s="192"/>
      <c r="Q511" s="192"/>
      <c r="R511" s="240"/>
      <c r="S511" s="191">
        <f t="shared" ref="S511" si="757">T511+V511</f>
        <v>300</v>
      </c>
      <c r="T511" s="227">
        <f t="shared" ref="T511" si="758">D511+H511+L511+P511</f>
        <v>300</v>
      </c>
      <c r="U511" s="227">
        <f t="shared" ref="U511:U512" si="759">E511+I511+M511+Q511</f>
        <v>0</v>
      </c>
      <c r="V511" s="228">
        <f t="shared" ref="V511:V512" si="760">F511+J511+N511+R511</f>
        <v>0</v>
      </c>
      <c r="W511" s="150"/>
    </row>
    <row r="512" spans="1:23" ht="15.75" customHeight="1" x14ac:dyDescent="0.2">
      <c r="A512" s="336" t="s">
        <v>69</v>
      </c>
      <c r="B512" s="343" t="s">
        <v>320</v>
      </c>
      <c r="C512" s="185">
        <f t="shared" si="708"/>
        <v>4800</v>
      </c>
      <c r="D512" s="187">
        <v>4800</v>
      </c>
      <c r="E512" s="187"/>
      <c r="F512" s="230"/>
      <c r="G512" s="221">
        <f t="shared" si="709"/>
        <v>0</v>
      </c>
      <c r="H512" s="187"/>
      <c r="I512" s="187"/>
      <c r="J512" s="327"/>
      <c r="K512" s="185">
        <f t="shared" si="710"/>
        <v>0</v>
      </c>
      <c r="L512" s="187"/>
      <c r="M512" s="187"/>
      <c r="N512" s="230"/>
      <c r="O512" s="221">
        <f t="shared" si="711"/>
        <v>0</v>
      </c>
      <c r="P512" s="192"/>
      <c r="Q512" s="192"/>
      <c r="R512" s="253"/>
      <c r="S512" s="185">
        <f t="shared" si="712"/>
        <v>4800</v>
      </c>
      <c r="T512" s="227">
        <f>D512+H512+L512+P512</f>
        <v>4800</v>
      </c>
      <c r="U512" s="227">
        <f t="shared" si="759"/>
        <v>0</v>
      </c>
      <c r="V512" s="240">
        <f t="shared" si="760"/>
        <v>0</v>
      </c>
    </row>
    <row r="513" spans="1:23" ht="15.75" customHeight="1" x14ac:dyDescent="0.2">
      <c r="A513" s="336"/>
      <c r="B513" s="352" t="s">
        <v>166</v>
      </c>
      <c r="C513" s="183">
        <f t="shared" si="708"/>
        <v>12700</v>
      </c>
      <c r="D513" s="188">
        <f>SUM(D514:D516)</f>
        <v>12700</v>
      </c>
      <c r="E513" s="188">
        <f>SUM(E514:E516)</f>
        <v>0</v>
      </c>
      <c r="F513" s="252">
        <f>SUM(F514:F516)</f>
        <v>0</v>
      </c>
      <c r="G513" s="246">
        <f t="shared" si="709"/>
        <v>0</v>
      </c>
      <c r="H513" s="188">
        <f>SUM(H514:H516)</f>
        <v>0</v>
      </c>
      <c r="I513" s="188">
        <f>SUM(I514:I516)</f>
        <v>0</v>
      </c>
      <c r="J513" s="188">
        <f>SUM(J514:J516)</f>
        <v>0</v>
      </c>
      <c r="K513" s="183">
        <f t="shared" si="710"/>
        <v>0</v>
      </c>
      <c r="L513" s="188">
        <f>SUM(L514:L516)</f>
        <v>0</v>
      </c>
      <c r="M513" s="188">
        <f>SUM(M514:M516)</f>
        <v>0</v>
      </c>
      <c r="N513" s="252">
        <f>SUM(N514:N516)</f>
        <v>0</v>
      </c>
      <c r="O513" s="246">
        <f t="shared" si="711"/>
        <v>0</v>
      </c>
      <c r="P513" s="188">
        <f>SUM(P514:P516)</f>
        <v>0</v>
      </c>
      <c r="Q513" s="188">
        <f>SUM(Q514:Q516)</f>
        <v>0</v>
      </c>
      <c r="R513" s="188">
        <f>SUM(R514:R516)</f>
        <v>0</v>
      </c>
      <c r="S513" s="183">
        <f t="shared" si="712"/>
        <v>12700</v>
      </c>
      <c r="T513" s="188">
        <f>SUM(T514:T516)</f>
        <v>12700</v>
      </c>
      <c r="U513" s="188">
        <f>SUM(U514:U516)</f>
        <v>0</v>
      </c>
      <c r="V513" s="252">
        <f>SUM(V514:V516)</f>
        <v>0</v>
      </c>
    </row>
    <row r="514" spans="1:23" ht="15.75" customHeight="1" x14ac:dyDescent="0.2">
      <c r="A514" s="336" t="s">
        <v>62</v>
      </c>
      <c r="B514" s="343" t="s">
        <v>320</v>
      </c>
      <c r="C514" s="185">
        <f t="shared" si="708"/>
        <v>10000</v>
      </c>
      <c r="D514" s="187">
        <v>10000</v>
      </c>
      <c r="E514" s="187"/>
      <c r="F514" s="230"/>
      <c r="G514" s="221">
        <f t="shared" si="709"/>
        <v>0</v>
      </c>
      <c r="H514" s="187"/>
      <c r="I514" s="187"/>
      <c r="J514" s="327"/>
      <c r="K514" s="185">
        <f t="shared" si="710"/>
        <v>0</v>
      </c>
      <c r="L514" s="187"/>
      <c r="M514" s="187"/>
      <c r="N514" s="230"/>
      <c r="O514" s="221">
        <f t="shared" si="711"/>
        <v>0</v>
      </c>
      <c r="P514" s="192"/>
      <c r="Q514" s="192"/>
      <c r="R514" s="253"/>
      <c r="S514" s="185">
        <f t="shared" si="712"/>
        <v>10000</v>
      </c>
      <c r="T514" s="227">
        <f>D514+H514+L514+P514</f>
        <v>10000</v>
      </c>
      <c r="U514" s="227">
        <f t="shared" ref="U514" si="761">E514+I514+M514+Q514</f>
        <v>0</v>
      </c>
      <c r="V514" s="240">
        <f t="shared" ref="V514" si="762">F514+J514+N514+R514</f>
        <v>0</v>
      </c>
    </row>
    <row r="515" spans="1:23" ht="15" customHeight="1" x14ac:dyDescent="0.2">
      <c r="A515" s="336" t="s">
        <v>62</v>
      </c>
      <c r="B515" s="398" t="s">
        <v>567</v>
      </c>
      <c r="C515" s="191">
        <f t="shared" si="708"/>
        <v>200</v>
      </c>
      <c r="D515" s="192">
        <v>200</v>
      </c>
      <c r="E515" s="192"/>
      <c r="F515" s="253"/>
      <c r="G515" s="191">
        <f t="shared" ref="G515" si="763">H515+J515</f>
        <v>0</v>
      </c>
      <c r="H515" s="192"/>
      <c r="I515" s="192"/>
      <c r="J515" s="240"/>
      <c r="K515" s="191"/>
      <c r="L515" s="192"/>
      <c r="M515" s="192"/>
      <c r="N515" s="253"/>
      <c r="O515" s="191"/>
      <c r="P515" s="192"/>
      <c r="Q515" s="192"/>
      <c r="R515" s="240"/>
      <c r="S515" s="191">
        <f t="shared" si="712"/>
        <v>200</v>
      </c>
      <c r="T515" s="227">
        <f t="shared" ref="T515" si="764">D515+H515+L515+P515</f>
        <v>200</v>
      </c>
      <c r="U515" s="227">
        <f t="shared" ref="U515:U516" si="765">E515+I515+M515+Q515</f>
        <v>0</v>
      </c>
      <c r="V515" s="228">
        <f t="shared" ref="V515:V516" si="766">F515+J515+N515+R515</f>
        <v>0</v>
      </c>
      <c r="W515" s="150"/>
    </row>
    <row r="516" spans="1:23" ht="15.75" customHeight="1" x14ac:dyDescent="0.2">
      <c r="A516" s="336" t="s">
        <v>69</v>
      </c>
      <c r="B516" s="343" t="s">
        <v>320</v>
      </c>
      <c r="C516" s="185">
        <f t="shared" si="708"/>
        <v>2500</v>
      </c>
      <c r="D516" s="187">
        <v>2500</v>
      </c>
      <c r="E516" s="187"/>
      <c r="F516" s="230"/>
      <c r="G516" s="221">
        <f t="shared" si="709"/>
        <v>0</v>
      </c>
      <c r="H516" s="187"/>
      <c r="I516" s="187"/>
      <c r="J516" s="327"/>
      <c r="K516" s="185">
        <f t="shared" si="710"/>
        <v>0</v>
      </c>
      <c r="L516" s="187"/>
      <c r="M516" s="187"/>
      <c r="N516" s="230"/>
      <c r="O516" s="221">
        <f t="shared" si="711"/>
        <v>0</v>
      </c>
      <c r="P516" s="192"/>
      <c r="Q516" s="192"/>
      <c r="R516" s="253"/>
      <c r="S516" s="185">
        <f t="shared" si="712"/>
        <v>2500</v>
      </c>
      <c r="T516" s="227">
        <f>D516+H516+L516+P516</f>
        <v>2500</v>
      </c>
      <c r="U516" s="227">
        <f t="shared" si="765"/>
        <v>0</v>
      </c>
      <c r="V516" s="240">
        <f t="shared" si="766"/>
        <v>0</v>
      </c>
    </row>
    <row r="517" spans="1:23" ht="15.75" customHeight="1" x14ac:dyDescent="0.2">
      <c r="A517" s="336"/>
      <c r="B517" s="352" t="s">
        <v>167</v>
      </c>
      <c r="C517" s="183">
        <f t="shared" si="708"/>
        <v>35600</v>
      </c>
      <c r="D517" s="188">
        <f>SUM(D518:D520)</f>
        <v>12200</v>
      </c>
      <c r="E517" s="188">
        <f>SUM(E518:E520)</f>
        <v>0</v>
      </c>
      <c r="F517" s="252">
        <f>SUM(F518:F520)</f>
        <v>23400</v>
      </c>
      <c r="G517" s="246">
        <f t="shared" si="709"/>
        <v>0</v>
      </c>
      <c r="H517" s="188">
        <f>SUM(H518:H520)</f>
        <v>0</v>
      </c>
      <c r="I517" s="188">
        <f>SUM(I518:I520)</f>
        <v>0</v>
      </c>
      <c r="J517" s="188">
        <f>SUM(J518:J520)</f>
        <v>0</v>
      </c>
      <c r="K517" s="183">
        <f t="shared" si="710"/>
        <v>0</v>
      </c>
      <c r="L517" s="188">
        <f>SUM(L518:L520)</f>
        <v>0</v>
      </c>
      <c r="M517" s="188">
        <f>SUM(M518:M520)</f>
        <v>0</v>
      </c>
      <c r="N517" s="252">
        <f>SUM(N518:N520)</f>
        <v>0</v>
      </c>
      <c r="O517" s="246">
        <f t="shared" si="711"/>
        <v>0</v>
      </c>
      <c r="P517" s="188">
        <f>SUM(P518:P520)</f>
        <v>0</v>
      </c>
      <c r="Q517" s="188">
        <f>SUM(Q518:Q520)</f>
        <v>0</v>
      </c>
      <c r="R517" s="188">
        <f>SUM(R518:R520)</f>
        <v>0</v>
      </c>
      <c r="S517" s="183">
        <f t="shared" si="712"/>
        <v>35600</v>
      </c>
      <c r="T517" s="188">
        <f>SUM(T518:T520)</f>
        <v>12200</v>
      </c>
      <c r="U517" s="188">
        <f>SUM(U518:U520)</f>
        <v>0</v>
      </c>
      <c r="V517" s="252">
        <f>SUM(V518:V520)</f>
        <v>23400</v>
      </c>
    </row>
    <row r="518" spans="1:23" ht="15.75" customHeight="1" x14ac:dyDescent="0.2">
      <c r="A518" s="336" t="s">
        <v>62</v>
      </c>
      <c r="B518" s="343" t="s">
        <v>320</v>
      </c>
      <c r="C518" s="185">
        <f t="shared" si="708"/>
        <v>30000</v>
      </c>
      <c r="D518" s="187">
        <v>8000</v>
      </c>
      <c r="E518" s="187"/>
      <c r="F518" s="230">
        <v>22000</v>
      </c>
      <c r="G518" s="221">
        <f t="shared" si="709"/>
        <v>0</v>
      </c>
      <c r="H518" s="187"/>
      <c r="I518" s="187"/>
      <c r="J518" s="327"/>
      <c r="K518" s="185">
        <f t="shared" si="710"/>
        <v>0</v>
      </c>
      <c r="L518" s="187"/>
      <c r="M518" s="187"/>
      <c r="N518" s="230"/>
      <c r="O518" s="221">
        <f t="shared" si="711"/>
        <v>0</v>
      </c>
      <c r="P518" s="192"/>
      <c r="Q518" s="192"/>
      <c r="R518" s="253"/>
      <c r="S518" s="185">
        <f t="shared" si="712"/>
        <v>30000</v>
      </c>
      <c r="T518" s="227">
        <f>D518+H518+L518+P518</f>
        <v>8000</v>
      </c>
      <c r="U518" s="227">
        <f t="shared" ref="U518" si="767">E518+I518+M518+Q518</f>
        <v>0</v>
      </c>
      <c r="V518" s="228">
        <f t="shared" ref="V518" si="768">F518+J518+N518+R518</f>
        <v>22000</v>
      </c>
      <c r="W518" s="150"/>
    </row>
    <row r="519" spans="1:23" ht="15" customHeight="1" x14ac:dyDescent="0.2">
      <c r="A519" s="336" t="s">
        <v>62</v>
      </c>
      <c r="B519" s="398" t="s">
        <v>567</v>
      </c>
      <c r="C519" s="185">
        <f t="shared" si="708"/>
        <v>300</v>
      </c>
      <c r="D519" s="192">
        <v>300</v>
      </c>
      <c r="E519" s="192"/>
      <c r="F519" s="253"/>
      <c r="G519" s="191">
        <f t="shared" ref="G519" si="769">H519+J519</f>
        <v>0</v>
      </c>
      <c r="H519" s="192"/>
      <c r="I519" s="192"/>
      <c r="J519" s="240"/>
      <c r="K519" s="191"/>
      <c r="L519" s="192"/>
      <c r="M519" s="192"/>
      <c r="N519" s="253"/>
      <c r="O519" s="191"/>
      <c r="P519" s="192"/>
      <c r="Q519" s="192"/>
      <c r="R519" s="240"/>
      <c r="S519" s="191">
        <f t="shared" si="712"/>
        <v>300</v>
      </c>
      <c r="T519" s="227">
        <f t="shared" ref="T519" si="770">D519+H519+L519+P519</f>
        <v>300</v>
      </c>
      <c r="U519" s="227">
        <f t="shared" ref="U519:U520" si="771">E519+I519+M519+Q519</f>
        <v>0</v>
      </c>
      <c r="V519" s="228">
        <f t="shared" ref="V519:V520" si="772">F519+J519+N519+R519</f>
        <v>0</v>
      </c>
      <c r="W519" s="150"/>
    </row>
    <row r="520" spans="1:23" ht="15.75" customHeight="1" x14ac:dyDescent="0.2">
      <c r="A520" s="336" t="s">
        <v>69</v>
      </c>
      <c r="B520" s="343" t="s">
        <v>320</v>
      </c>
      <c r="C520" s="185">
        <f t="shared" si="708"/>
        <v>5300</v>
      </c>
      <c r="D520" s="187">
        <v>3900</v>
      </c>
      <c r="E520" s="187"/>
      <c r="F520" s="230">
        <v>1400</v>
      </c>
      <c r="G520" s="221">
        <f t="shared" si="709"/>
        <v>0</v>
      </c>
      <c r="H520" s="187"/>
      <c r="I520" s="187"/>
      <c r="J520" s="327"/>
      <c r="K520" s="185">
        <f t="shared" si="710"/>
        <v>0</v>
      </c>
      <c r="L520" s="187"/>
      <c r="M520" s="187"/>
      <c r="N520" s="230"/>
      <c r="O520" s="221">
        <f t="shared" si="711"/>
        <v>0</v>
      </c>
      <c r="P520" s="192"/>
      <c r="Q520" s="192"/>
      <c r="R520" s="253"/>
      <c r="S520" s="185">
        <f t="shared" si="712"/>
        <v>5300</v>
      </c>
      <c r="T520" s="227">
        <f>D520+H520+L520+P520</f>
        <v>3900</v>
      </c>
      <c r="U520" s="227">
        <f t="shared" si="771"/>
        <v>0</v>
      </c>
      <c r="V520" s="228">
        <f t="shared" si="772"/>
        <v>1400</v>
      </c>
      <c r="W520" s="150"/>
    </row>
    <row r="521" spans="1:23" ht="15.75" customHeight="1" x14ac:dyDescent="0.2">
      <c r="A521" s="336"/>
      <c r="B521" s="352" t="s">
        <v>168</v>
      </c>
      <c r="C521" s="183">
        <f t="shared" si="708"/>
        <v>8400</v>
      </c>
      <c r="D521" s="188">
        <f>SUM(D522:D524)</f>
        <v>8400</v>
      </c>
      <c r="E521" s="188">
        <f>SUM(E522:E524)</f>
        <v>0</v>
      </c>
      <c r="F521" s="252">
        <f>SUM(F522:F524)</f>
        <v>0</v>
      </c>
      <c r="G521" s="246">
        <f t="shared" si="709"/>
        <v>0</v>
      </c>
      <c r="H521" s="188">
        <f>SUM(H522:H524)</f>
        <v>0</v>
      </c>
      <c r="I521" s="188">
        <f>SUM(I522:I524)</f>
        <v>0</v>
      </c>
      <c r="J521" s="188">
        <f>SUM(J522:J524)</f>
        <v>0</v>
      </c>
      <c r="K521" s="183">
        <f t="shared" si="710"/>
        <v>0</v>
      </c>
      <c r="L521" s="188">
        <f>SUM(L522:L524)</f>
        <v>0</v>
      </c>
      <c r="M521" s="188">
        <f>SUM(M522:M524)</f>
        <v>0</v>
      </c>
      <c r="N521" s="252">
        <f>SUM(N522:N524)</f>
        <v>0</v>
      </c>
      <c r="O521" s="246">
        <f t="shared" si="711"/>
        <v>0</v>
      </c>
      <c r="P521" s="188">
        <f>SUM(P522:P524)</f>
        <v>0</v>
      </c>
      <c r="Q521" s="188">
        <f>SUM(Q522:Q524)</f>
        <v>0</v>
      </c>
      <c r="R521" s="188">
        <f>SUM(R522:R524)</f>
        <v>0</v>
      </c>
      <c r="S521" s="183">
        <f t="shared" si="712"/>
        <v>8400</v>
      </c>
      <c r="T521" s="188">
        <f>SUM(T522:T524)</f>
        <v>8400</v>
      </c>
      <c r="U521" s="188">
        <f>SUM(U522:U524)</f>
        <v>0</v>
      </c>
      <c r="V521" s="252">
        <f>SUM(V522:V524)</f>
        <v>0</v>
      </c>
    </row>
    <row r="522" spans="1:23" ht="15.75" customHeight="1" x14ac:dyDescent="0.2">
      <c r="A522" s="336" t="s">
        <v>62</v>
      </c>
      <c r="B522" s="343" t="s">
        <v>320</v>
      </c>
      <c r="C522" s="185">
        <f t="shared" si="708"/>
        <v>5500</v>
      </c>
      <c r="D522" s="187">
        <v>5500</v>
      </c>
      <c r="E522" s="187"/>
      <c r="F522" s="230"/>
      <c r="G522" s="221">
        <f t="shared" si="709"/>
        <v>0</v>
      </c>
      <c r="H522" s="187"/>
      <c r="I522" s="187"/>
      <c r="J522" s="327"/>
      <c r="K522" s="185">
        <f t="shared" si="710"/>
        <v>0</v>
      </c>
      <c r="L522" s="187"/>
      <c r="M522" s="187"/>
      <c r="N522" s="230"/>
      <c r="O522" s="221">
        <f t="shared" si="711"/>
        <v>0</v>
      </c>
      <c r="P522" s="192"/>
      <c r="Q522" s="192"/>
      <c r="R522" s="253"/>
      <c r="S522" s="185">
        <f t="shared" si="712"/>
        <v>5500</v>
      </c>
      <c r="T522" s="227">
        <f>D522+H522+L522+P522</f>
        <v>5500</v>
      </c>
      <c r="U522" s="227">
        <f t="shared" ref="U522" si="773">E522+I522+M522+Q522</f>
        <v>0</v>
      </c>
      <c r="V522" s="228">
        <f t="shared" ref="V522" si="774">F522+J522+N522+R522</f>
        <v>0</v>
      </c>
      <c r="W522" s="150"/>
    </row>
    <row r="523" spans="1:23" ht="15" customHeight="1" x14ac:dyDescent="0.2">
      <c r="A523" s="336" t="s">
        <v>62</v>
      </c>
      <c r="B523" s="398" t="s">
        <v>567</v>
      </c>
      <c r="C523" s="191">
        <f t="shared" si="708"/>
        <v>200</v>
      </c>
      <c r="D523" s="192">
        <v>200</v>
      </c>
      <c r="E523" s="192"/>
      <c r="F523" s="253"/>
      <c r="G523" s="191">
        <f t="shared" si="709"/>
        <v>0</v>
      </c>
      <c r="H523" s="192"/>
      <c r="I523" s="192"/>
      <c r="J523" s="240"/>
      <c r="K523" s="191"/>
      <c r="L523" s="192"/>
      <c r="M523" s="192"/>
      <c r="N523" s="253"/>
      <c r="O523" s="191"/>
      <c r="P523" s="192"/>
      <c r="Q523" s="192"/>
      <c r="R523" s="240"/>
      <c r="S523" s="191">
        <f t="shared" ref="S523" si="775">T523+V523</f>
        <v>200</v>
      </c>
      <c r="T523" s="227">
        <f t="shared" ref="T523" si="776">D523+H523+L523+P523</f>
        <v>200</v>
      </c>
      <c r="U523" s="227">
        <f t="shared" ref="U523:U524" si="777">E523+I523+M523+Q523</f>
        <v>0</v>
      </c>
      <c r="V523" s="228">
        <f t="shared" ref="V523:V524" si="778">F523+J523+N523+R523</f>
        <v>0</v>
      </c>
      <c r="W523" s="150"/>
    </row>
    <row r="524" spans="1:23" ht="15.75" customHeight="1" x14ac:dyDescent="0.2">
      <c r="A524" s="336" t="s">
        <v>69</v>
      </c>
      <c r="B524" s="343" t="s">
        <v>320</v>
      </c>
      <c r="C524" s="185">
        <f t="shared" si="708"/>
        <v>2700</v>
      </c>
      <c r="D524" s="187">
        <v>2700</v>
      </c>
      <c r="E524" s="187"/>
      <c r="F524" s="230"/>
      <c r="G524" s="221">
        <f t="shared" si="709"/>
        <v>0</v>
      </c>
      <c r="H524" s="187"/>
      <c r="I524" s="187"/>
      <c r="J524" s="327"/>
      <c r="K524" s="185">
        <f t="shared" si="710"/>
        <v>0</v>
      </c>
      <c r="L524" s="187"/>
      <c r="M524" s="187"/>
      <c r="N524" s="230"/>
      <c r="O524" s="221">
        <f t="shared" si="711"/>
        <v>0</v>
      </c>
      <c r="P524" s="192"/>
      <c r="Q524" s="192"/>
      <c r="R524" s="253"/>
      <c r="S524" s="185">
        <f t="shared" si="712"/>
        <v>2700</v>
      </c>
      <c r="T524" s="227">
        <f>D524+H524+L524+P524</f>
        <v>2700</v>
      </c>
      <c r="U524" s="227">
        <f t="shared" si="777"/>
        <v>0</v>
      </c>
      <c r="V524" s="228">
        <f t="shared" si="778"/>
        <v>0</v>
      </c>
      <c r="W524" s="150"/>
    </row>
    <row r="525" spans="1:23" ht="15.75" customHeight="1" x14ac:dyDescent="0.2">
      <c r="A525" s="336"/>
      <c r="B525" s="352" t="s">
        <v>169</v>
      </c>
      <c r="C525" s="183">
        <f t="shared" si="708"/>
        <v>32600</v>
      </c>
      <c r="D525" s="188">
        <f>SUM(D526:D528)</f>
        <v>10600</v>
      </c>
      <c r="E525" s="188">
        <f>SUM(E526:E528)</f>
        <v>0</v>
      </c>
      <c r="F525" s="252">
        <f>SUM(F526:F528)</f>
        <v>22000</v>
      </c>
      <c r="G525" s="246">
        <f t="shared" si="709"/>
        <v>0</v>
      </c>
      <c r="H525" s="188">
        <f>SUM(H526:H528)</f>
        <v>0</v>
      </c>
      <c r="I525" s="188">
        <f>SUM(I526:I528)</f>
        <v>0</v>
      </c>
      <c r="J525" s="188">
        <f>SUM(J526:J528)</f>
        <v>0</v>
      </c>
      <c r="K525" s="183">
        <f t="shared" si="710"/>
        <v>0</v>
      </c>
      <c r="L525" s="188">
        <f>SUM(L526:L528)</f>
        <v>0</v>
      </c>
      <c r="M525" s="188">
        <f>SUM(M526:M528)</f>
        <v>0</v>
      </c>
      <c r="N525" s="252">
        <f>SUM(N526:N528)</f>
        <v>0</v>
      </c>
      <c r="O525" s="246">
        <f t="shared" si="711"/>
        <v>0</v>
      </c>
      <c r="P525" s="188">
        <f>SUM(P526:P528)</f>
        <v>0</v>
      </c>
      <c r="Q525" s="188">
        <f>SUM(Q526:Q528)</f>
        <v>0</v>
      </c>
      <c r="R525" s="188">
        <f>SUM(R526:R528)</f>
        <v>0</v>
      </c>
      <c r="S525" s="183">
        <f t="shared" si="712"/>
        <v>32600</v>
      </c>
      <c r="T525" s="188">
        <f>SUM(T526:T528)</f>
        <v>10600</v>
      </c>
      <c r="U525" s="188">
        <f>SUM(U526:U528)</f>
        <v>0</v>
      </c>
      <c r="V525" s="252">
        <f>SUM(V526:V528)</f>
        <v>22000</v>
      </c>
    </row>
    <row r="526" spans="1:23" ht="15.75" customHeight="1" x14ac:dyDescent="0.2">
      <c r="A526" s="336" t="s">
        <v>62</v>
      </c>
      <c r="B526" s="343" t="s">
        <v>320</v>
      </c>
      <c r="C526" s="185">
        <f t="shared" si="708"/>
        <v>29700</v>
      </c>
      <c r="D526" s="187">
        <v>7700</v>
      </c>
      <c r="E526" s="187"/>
      <c r="F526" s="230">
        <v>22000</v>
      </c>
      <c r="G526" s="221">
        <f t="shared" si="709"/>
        <v>0</v>
      </c>
      <c r="H526" s="187"/>
      <c r="I526" s="187"/>
      <c r="J526" s="327"/>
      <c r="K526" s="185">
        <f t="shared" si="710"/>
        <v>0</v>
      </c>
      <c r="L526" s="187"/>
      <c r="M526" s="187"/>
      <c r="N526" s="230"/>
      <c r="O526" s="221">
        <f t="shared" si="711"/>
        <v>0</v>
      </c>
      <c r="P526" s="192"/>
      <c r="Q526" s="192"/>
      <c r="R526" s="253"/>
      <c r="S526" s="185">
        <f t="shared" si="712"/>
        <v>29700</v>
      </c>
      <c r="T526" s="227">
        <f>D526+H526+L526+P526</f>
        <v>7700</v>
      </c>
      <c r="U526" s="227">
        <f t="shared" ref="U526" si="779">E526+I526+M526+Q526</f>
        <v>0</v>
      </c>
      <c r="V526" s="240">
        <f t="shared" ref="V526" si="780">F526+J526+N526+R526</f>
        <v>22000</v>
      </c>
    </row>
    <row r="527" spans="1:23" ht="15" customHeight="1" x14ac:dyDescent="0.2">
      <c r="A527" s="336" t="s">
        <v>62</v>
      </c>
      <c r="B527" s="398" t="s">
        <v>567</v>
      </c>
      <c r="C527" s="185">
        <f t="shared" si="708"/>
        <v>300</v>
      </c>
      <c r="D527" s="192">
        <v>300</v>
      </c>
      <c r="E527" s="192"/>
      <c r="F527" s="253"/>
      <c r="G527" s="191">
        <f t="shared" si="709"/>
        <v>0</v>
      </c>
      <c r="H527" s="192"/>
      <c r="I527" s="192"/>
      <c r="J527" s="240"/>
      <c r="K527" s="191"/>
      <c r="L527" s="192"/>
      <c r="M527" s="192"/>
      <c r="N527" s="253"/>
      <c r="O527" s="191"/>
      <c r="P527" s="192"/>
      <c r="Q527" s="192"/>
      <c r="R527" s="240"/>
      <c r="S527" s="191">
        <f t="shared" ref="S527" si="781">T527+V527</f>
        <v>300</v>
      </c>
      <c r="T527" s="227">
        <f t="shared" ref="T527" si="782">D527+H527+L527+P527</f>
        <v>300</v>
      </c>
      <c r="U527" s="227">
        <f t="shared" ref="U527:U528" si="783">E527+I527+M527+Q527</f>
        <v>0</v>
      </c>
      <c r="V527" s="228">
        <f t="shared" ref="V527:V528" si="784">F527+J527+N527+R527</f>
        <v>0</v>
      </c>
      <c r="W527" s="150"/>
    </row>
    <row r="528" spans="1:23" ht="15.75" customHeight="1" x14ac:dyDescent="0.2">
      <c r="A528" s="336" t="s">
        <v>69</v>
      </c>
      <c r="B528" s="343" t="s">
        <v>320</v>
      </c>
      <c r="C528" s="185">
        <f t="shared" si="708"/>
        <v>2600</v>
      </c>
      <c r="D528" s="187">
        <v>2600</v>
      </c>
      <c r="E528" s="187"/>
      <c r="F528" s="230"/>
      <c r="G528" s="221">
        <f t="shared" si="709"/>
        <v>0</v>
      </c>
      <c r="H528" s="187"/>
      <c r="I528" s="187"/>
      <c r="J528" s="327"/>
      <c r="K528" s="185">
        <f t="shared" si="710"/>
        <v>0</v>
      </c>
      <c r="L528" s="187"/>
      <c r="M528" s="187"/>
      <c r="N528" s="230"/>
      <c r="O528" s="221">
        <f t="shared" si="711"/>
        <v>0</v>
      </c>
      <c r="P528" s="192"/>
      <c r="Q528" s="192"/>
      <c r="R528" s="253"/>
      <c r="S528" s="185">
        <f t="shared" si="712"/>
        <v>2600</v>
      </c>
      <c r="T528" s="227">
        <f>D528+H528+L528+P528</f>
        <v>2600</v>
      </c>
      <c r="U528" s="227">
        <f t="shared" si="783"/>
        <v>0</v>
      </c>
      <c r="V528" s="228">
        <f t="shared" si="784"/>
        <v>0</v>
      </c>
      <c r="W528" s="150"/>
    </row>
    <row r="529" spans="1:23" ht="15.75" customHeight="1" x14ac:dyDescent="0.2">
      <c r="A529" s="336"/>
      <c r="B529" s="352" t="s">
        <v>170</v>
      </c>
      <c r="C529" s="183">
        <f t="shared" si="708"/>
        <v>11800</v>
      </c>
      <c r="D529" s="188">
        <f>SUM(D530:D532)</f>
        <v>9300</v>
      </c>
      <c r="E529" s="188">
        <f>SUM(E530:E532)</f>
        <v>0</v>
      </c>
      <c r="F529" s="252">
        <f>SUM(F530:F532)</f>
        <v>2500</v>
      </c>
      <c r="G529" s="246">
        <f t="shared" si="709"/>
        <v>0</v>
      </c>
      <c r="H529" s="188">
        <f>SUM(H530:H532)</f>
        <v>0</v>
      </c>
      <c r="I529" s="188">
        <f>SUM(I530:I532)</f>
        <v>0</v>
      </c>
      <c r="J529" s="188">
        <f>SUM(J530:J532)</f>
        <v>0</v>
      </c>
      <c r="K529" s="183">
        <f t="shared" si="710"/>
        <v>0</v>
      </c>
      <c r="L529" s="188">
        <f>SUM(L530:L532)</f>
        <v>0</v>
      </c>
      <c r="M529" s="188">
        <f>SUM(M530:M532)</f>
        <v>0</v>
      </c>
      <c r="N529" s="252">
        <f>SUM(N530:N532)</f>
        <v>0</v>
      </c>
      <c r="O529" s="246">
        <f t="shared" si="711"/>
        <v>0</v>
      </c>
      <c r="P529" s="188">
        <f>SUM(P530:P532)</f>
        <v>0</v>
      </c>
      <c r="Q529" s="188">
        <f>SUM(Q530:Q532)</f>
        <v>0</v>
      </c>
      <c r="R529" s="188">
        <f>SUM(R530:R532)</f>
        <v>0</v>
      </c>
      <c r="S529" s="183">
        <f t="shared" si="712"/>
        <v>11800</v>
      </c>
      <c r="T529" s="188">
        <f>SUM(T530:T532)</f>
        <v>9300</v>
      </c>
      <c r="U529" s="188">
        <f>SUM(U530:U532)</f>
        <v>0</v>
      </c>
      <c r="V529" s="252">
        <f>SUM(V530:V532)</f>
        <v>2500</v>
      </c>
    </row>
    <row r="530" spans="1:23" ht="15.75" customHeight="1" x14ac:dyDescent="0.2">
      <c r="A530" s="336" t="s">
        <v>62</v>
      </c>
      <c r="B530" s="343" t="s">
        <v>320</v>
      </c>
      <c r="C530" s="185">
        <f t="shared" si="708"/>
        <v>6000</v>
      </c>
      <c r="D530" s="187">
        <v>4500</v>
      </c>
      <c r="E530" s="187"/>
      <c r="F530" s="230">
        <v>1500</v>
      </c>
      <c r="G530" s="221">
        <f t="shared" si="709"/>
        <v>0</v>
      </c>
      <c r="H530" s="187"/>
      <c r="I530" s="187"/>
      <c r="J530" s="327"/>
      <c r="K530" s="185">
        <f t="shared" si="710"/>
        <v>0</v>
      </c>
      <c r="L530" s="187"/>
      <c r="M530" s="187"/>
      <c r="N530" s="230"/>
      <c r="O530" s="221">
        <f t="shared" si="711"/>
        <v>0</v>
      </c>
      <c r="P530" s="192"/>
      <c r="Q530" s="192"/>
      <c r="R530" s="253"/>
      <c r="S530" s="185">
        <f t="shared" si="712"/>
        <v>6000</v>
      </c>
      <c r="T530" s="227">
        <f>D530+H530+L530+P530</f>
        <v>4500</v>
      </c>
      <c r="U530" s="227">
        <f t="shared" ref="U530" si="785">E530+I530+M530+Q530</f>
        <v>0</v>
      </c>
      <c r="V530" s="228">
        <f t="shared" ref="V530" si="786">F530+J530+N530+R530</f>
        <v>1500</v>
      </c>
      <c r="W530" s="150"/>
    </row>
    <row r="531" spans="1:23" ht="15" customHeight="1" x14ac:dyDescent="0.2">
      <c r="A531" s="336" t="s">
        <v>62</v>
      </c>
      <c r="B531" s="398" t="s">
        <v>567</v>
      </c>
      <c r="C531" s="185">
        <f t="shared" si="708"/>
        <v>300</v>
      </c>
      <c r="D531" s="192">
        <v>300</v>
      </c>
      <c r="E531" s="192"/>
      <c r="F531" s="253"/>
      <c r="G531" s="191">
        <f t="shared" ref="G531" si="787">H531+J531</f>
        <v>0</v>
      </c>
      <c r="H531" s="192"/>
      <c r="I531" s="192"/>
      <c r="J531" s="240"/>
      <c r="K531" s="191"/>
      <c r="L531" s="192"/>
      <c r="M531" s="192"/>
      <c r="N531" s="253"/>
      <c r="O531" s="191"/>
      <c r="P531" s="192"/>
      <c r="Q531" s="192"/>
      <c r="R531" s="240"/>
      <c r="S531" s="191">
        <f t="shared" si="712"/>
        <v>300</v>
      </c>
      <c r="T531" s="227">
        <f t="shared" ref="T531" si="788">D531+H531+L531+P531</f>
        <v>300</v>
      </c>
      <c r="U531" s="227">
        <f t="shared" ref="U531:U532" si="789">E531+I531+M531+Q531</f>
        <v>0</v>
      </c>
      <c r="V531" s="228">
        <f t="shared" ref="V531:V532" si="790">F531+J531+N531+R531</f>
        <v>0</v>
      </c>
      <c r="W531" s="150"/>
    </row>
    <row r="532" spans="1:23" ht="15.75" customHeight="1" x14ac:dyDescent="0.2">
      <c r="A532" s="336" t="s">
        <v>69</v>
      </c>
      <c r="B532" s="343" t="s">
        <v>320</v>
      </c>
      <c r="C532" s="185">
        <f t="shared" si="708"/>
        <v>5500</v>
      </c>
      <c r="D532" s="187">
        <v>4500</v>
      </c>
      <c r="E532" s="187"/>
      <c r="F532" s="230">
        <v>1000</v>
      </c>
      <c r="G532" s="221">
        <f t="shared" si="709"/>
        <v>0</v>
      </c>
      <c r="H532" s="187"/>
      <c r="I532" s="187"/>
      <c r="J532" s="327"/>
      <c r="K532" s="185">
        <f t="shared" si="710"/>
        <v>0</v>
      </c>
      <c r="L532" s="187"/>
      <c r="M532" s="187"/>
      <c r="N532" s="230"/>
      <c r="O532" s="221">
        <f t="shared" si="711"/>
        <v>0</v>
      </c>
      <c r="P532" s="192"/>
      <c r="Q532" s="192"/>
      <c r="R532" s="253"/>
      <c r="S532" s="185">
        <f t="shared" si="712"/>
        <v>5500</v>
      </c>
      <c r="T532" s="227">
        <f>D532+H532+L532+P532</f>
        <v>4500</v>
      </c>
      <c r="U532" s="227">
        <f t="shared" si="789"/>
        <v>0</v>
      </c>
      <c r="V532" s="240">
        <f t="shared" si="790"/>
        <v>1000</v>
      </c>
    </row>
    <row r="533" spans="1:23" ht="15.75" customHeight="1" x14ac:dyDescent="0.2">
      <c r="A533" s="336"/>
      <c r="B533" s="352" t="s">
        <v>171</v>
      </c>
      <c r="C533" s="183">
        <f t="shared" si="708"/>
        <v>6600</v>
      </c>
      <c r="D533" s="188">
        <f>SUM(D534:D536)</f>
        <v>6600</v>
      </c>
      <c r="E533" s="188">
        <f>SUM(E534:E536)</f>
        <v>0</v>
      </c>
      <c r="F533" s="252">
        <f>SUM(F534:F536)</f>
        <v>0</v>
      </c>
      <c r="G533" s="246">
        <f t="shared" si="709"/>
        <v>0</v>
      </c>
      <c r="H533" s="188">
        <f>SUM(H534:H536)</f>
        <v>0</v>
      </c>
      <c r="I533" s="188">
        <f>SUM(I534:I536)</f>
        <v>0</v>
      </c>
      <c r="J533" s="188">
        <f>SUM(J534:J536)</f>
        <v>0</v>
      </c>
      <c r="K533" s="183">
        <f t="shared" si="710"/>
        <v>0</v>
      </c>
      <c r="L533" s="188">
        <f>SUM(L534:L536)</f>
        <v>0</v>
      </c>
      <c r="M533" s="188">
        <f>SUM(M534:M536)</f>
        <v>0</v>
      </c>
      <c r="N533" s="252">
        <f>SUM(N534:N536)</f>
        <v>0</v>
      </c>
      <c r="O533" s="246">
        <f t="shared" si="711"/>
        <v>0</v>
      </c>
      <c r="P533" s="188">
        <f>SUM(P534:P536)</f>
        <v>0</v>
      </c>
      <c r="Q533" s="188">
        <f>SUM(Q534:Q536)</f>
        <v>0</v>
      </c>
      <c r="R533" s="188">
        <f>SUM(R534:R536)</f>
        <v>0</v>
      </c>
      <c r="S533" s="183">
        <f t="shared" si="712"/>
        <v>6600</v>
      </c>
      <c r="T533" s="188">
        <f>SUM(T534:T536)</f>
        <v>6600</v>
      </c>
      <c r="U533" s="188">
        <f>SUM(U534:U536)</f>
        <v>0</v>
      </c>
      <c r="V533" s="252">
        <f>SUM(V534:V536)</f>
        <v>0</v>
      </c>
    </row>
    <row r="534" spans="1:23" ht="15.75" customHeight="1" x14ac:dyDescent="0.2">
      <c r="A534" s="336" t="s">
        <v>62</v>
      </c>
      <c r="B534" s="343" t="s">
        <v>320</v>
      </c>
      <c r="C534" s="185">
        <f t="shared" si="708"/>
        <v>4300</v>
      </c>
      <c r="D534" s="187">
        <v>4300</v>
      </c>
      <c r="E534" s="187"/>
      <c r="F534" s="230"/>
      <c r="G534" s="221">
        <f t="shared" si="709"/>
        <v>0</v>
      </c>
      <c r="H534" s="187"/>
      <c r="I534" s="187"/>
      <c r="J534" s="327"/>
      <c r="K534" s="185">
        <f t="shared" si="710"/>
        <v>0</v>
      </c>
      <c r="L534" s="187"/>
      <c r="M534" s="187"/>
      <c r="N534" s="230"/>
      <c r="O534" s="221">
        <f t="shared" si="711"/>
        <v>0</v>
      </c>
      <c r="P534" s="192"/>
      <c r="Q534" s="192"/>
      <c r="R534" s="253"/>
      <c r="S534" s="185">
        <f t="shared" si="712"/>
        <v>4300</v>
      </c>
      <c r="T534" s="227">
        <f>D534+H534+L534+P534</f>
        <v>4300</v>
      </c>
      <c r="U534" s="227">
        <f t="shared" ref="U534" si="791">E534+I534+M534+Q534</f>
        <v>0</v>
      </c>
      <c r="V534" s="228">
        <f t="shared" ref="V534" si="792">F534+J534+N534+R534</f>
        <v>0</v>
      </c>
      <c r="W534" s="150"/>
    </row>
    <row r="535" spans="1:23" ht="15" customHeight="1" x14ac:dyDescent="0.2">
      <c r="A535" s="336" t="s">
        <v>62</v>
      </c>
      <c r="B535" s="398" t="s">
        <v>567</v>
      </c>
      <c r="C535" s="191">
        <f t="shared" si="708"/>
        <v>200</v>
      </c>
      <c r="D535" s="192">
        <v>200</v>
      </c>
      <c r="E535" s="192"/>
      <c r="F535" s="253"/>
      <c r="G535" s="191">
        <f t="shared" ref="G535" si="793">H535+J535</f>
        <v>0</v>
      </c>
      <c r="H535" s="192"/>
      <c r="I535" s="192"/>
      <c r="J535" s="240"/>
      <c r="K535" s="191"/>
      <c r="L535" s="192"/>
      <c r="M535" s="192"/>
      <c r="N535" s="253"/>
      <c r="O535" s="191"/>
      <c r="P535" s="192"/>
      <c r="Q535" s="192"/>
      <c r="R535" s="240"/>
      <c r="S535" s="191">
        <f t="shared" si="712"/>
        <v>200</v>
      </c>
      <c r="T535" s="227">
        <f t="shared" ref="T535" si="794">D535+H535+L535+P535</f>
        <v>200</v>
      </c>
      <c r="U535" s="227">
        <f t="shared" ref="U535:U536" si="795">E535+I535+M535+Q535</f>
        <v>0</v>
      </c>
      <c r="V535" s="228">
        <f t="shared" ref="V535:V536" si="796">F535+J535+N535+R535</f>
        <v>0</v>
      </c>
      <c r="W535" s="150"/>
    </row>
    <row r="536" spans="1:23" ht="15.75" customHeight="1" x14ac:dyDescent="0.2">
      <c r="A536" s="336" t="s">
        <v>69</v>
      </c>
      <c r="B536" s="343" t="s">
        <v>320</v>
      </c>
      <c r="C536" s="185">
        <f t="shared" si="708"/>
        <v>2100</v>
      </c>
      <c r="D536" s="187">
        <v>2100</v>
      </c>
      <c r="E536" s="187"/>
      <c r="F536" s="230"/>
      <c r="G536" s="221">
        <f t="shared" si="709"/>
        <v>0</v>
      </c>
      <c r="H536" s="187"/>
      <c r="I536" s="187"/>
      <c r="J536" s="327"/>
      <c r="K536" s="185">
        <f t="shared" si="710"/>
        <v>0</v>
      </c>
      <c r="L536" s="187"/>
      <c r="M536" s="187"/>
      <c r="N536" s="230"/>
      <c r="O536" s="221">
        <f t="shared" si="711"/>
        <v>0</v>
      </c>
      <c r="P536" s="192"/>
      <c r="Q536" s="192"/>
      <c r="R536" s="253"/>
      <c r="S536" s="185">
        <f t="shared" si="712"/>
        <v>2100</v>
      </c>
      <c r="T536" s="227">
        <f>D536+H536+L536+P536</f>
        <v>2100</v>
      </c>
      <c r="U536" s="227">
        <f t="shared" si="795"/>
        <v>0</v>
      </c>
      <c r="V536" s="228">
        <f t="shared" si="796"/>
        <v>0</v>
      </c>
      <c r="W536" s="150"/>
    </row>
    <row r="537" spans="1:23" ht="16.5" customHeight="1" x14ac:dyDescent="0.2">
      <c r="A537" s="375" t="s">
        <v>68</v>
      </c>
      <c r="B537" s="399" t="s">
        <v>414</v>
      </c>
      <c r="C537" s="189">
        <f>D537+F537</f>
        <v>272900</v>
      </c>
      <c r="D537" s="190">
        <v>272000</v>
      </c>
      <c r="E537" s="190">
        <v>260000</v>
      </c>
      <c r="F537" s="380">
        <v>900</v>
      </c>
      <c r="G537" s="244">
        <f>H537+J537</f>
        <v>0</v>
      </c>
      <c r="H537" s="190"/>
      <c r="I537" s="190"/>
      <c r="J537" s="251"/>
      <c r="K537" s="189">
        <f>L537+N537</f>
        <v>0</v>
      </c>
      <c r="L537" s="190"/>
      <c r="M537" s="190"/>
      <c r="N537" s="380"/>
      <c r="O537" s="244">
        <f>P537+R537</f>
        <v>0</v>
      </c>
      <c r="P537" s="190"/>
      <c r="Q537" s="190"/>
      <c r="R537" s="251"/>
      <c r="S537" s="244">
        <f>T537+V537</f>
        <v>272900</v>
      </c>
      <c r="T537" s="190">
        <f t="shared" ref="T537:V538" si="797">D537+H537+L537+P537</f>
        <v>272000</v>
      </c>
      <c r="U537" s="190">
        <f t="shared" si="797"/>
        <v>260000</v>
      </c>
      <c r="V537" s="251">
        <f t="shared" si="797"/>
        <v>900</v>
      </c>
    </row>
    <row r="538" spans="1:23" ht="15" customHeight="1" thickBot="1" x14ac:dyDescent="0.25">
      <c r="A538" s="400" t="s">
        <v>63</v>
      </c>
      <c r="B538" s="399" t="s">
        <v>55</v>
      </c>
      <c r="C538" s="189">
        <f>D538+F538</f>
        <v>27100</v>
      </c>
      <c r="D538" s="190">
        <f>25200+1000</f>
        <v>26200</v>
      </c>
      <c r="E538" s="190">
        <v>24200</v>
      </c>
      <c r="F538" s="380">
        <v>900</v>
      </c>
      <c r="G538" s="205">
        <f>H538+J538</f>
        <v>666100</v>
      </c>
      <c r="H538" s="206">
        <v>666100</v>
      </c>
      <c r="I538" s="206">
        <v>630000</v>
      </c>
      <c r="J538" s="389"/>
      <c r="K538" s="189">
        <f>L538+N538</f>
        <v>0</v>
      </c>
      <c r="L538" s="190"/>
      <c r="M538" s="190"/>
      <c r="N538" s="380"/>
      <c r="O538" s="205">
        <f>P538+R538</f>
        <v>0</v>
      </c>
      <c r="P538" s="206"/>
      <c r="Q538" s="206"/>
      <c r="R538" s="389"/>
      <c r="S538" s="205">
        <f>T538+V538</f>
        <v>693200</v>
      </c>
      <c r="T538" s="206">
        <f t="shared" si="797"/>
        <v>692300</v>
      </c>
      <c r="U538" s="206">
        <f t="shared" si="797"/>
        <v>654200</v>
      </c>
      <c r="V538" s="389">
        <f t="shared" si="797"/>
        <v>900</v>
      </c>
    </row>
    <row r="539" spans="1:23" ht="16.5" customHeight="1" thickBot="1" x14ac:dyDescent="0.25">
      <c r="A539" s="442"/>
      <c r="B539" s="401" t="s">
        <v>322</v>
      </c>
      <c r="C539" s="402">
        <f>D539+F539</f>
        <v>4297198.6100000003</v>
      </c>
      <c r="D539" s="208">
        <f>SUM(D463,D464,D494,D497,D501,D505,D509,D513,D517,D521,D525,D529,D533,D538,D537)</f>
        <v>3214598.6100000003</v>
      </c>
      <c r="E539" s="208">
        <f>SUM(E463,E464,E494,E497,E501,E505,E509,E513,E517,E521,E525,E529,E533,E538,E537)</f>
        <v>2581000</v>
      </c>
      <c r="F539" s="208">
        <f>SUM(F463,F464,F494,F497,F501,F505,F509,F513,F517,F521,F525,F529,F533,F538,F537)</f>
        <v>1082600</v>
      </c>
      <c r="G539" s="207">
        <f>H539+J539</f>
        <v>1052988</v>
      </c>
      <c r="H539" s="208">
        <f>SUM(H463,H464,H494,H497,H501,H505,H509,H513,H517,H521,H525,H529,H533,H538)</f>
        <v>1052988</v>
      </c>
      <c r="I539" s="208">
        <f>SUM(I463,I464,I494,I497,I501,I505,I509,I513,I517,I521,I525,I529,I533,I538)</f>
        <v>968312</v>
      </c>
      <c r="J539" s="208">
        <f>SUM(J463,J464,J494,J497,J501,J505,J509,J513,J517,J521,J525,J529,J533,J538)</f>
        <v>0</v>
      </c>
      <c r="K539" s="207">
        <f>L539+N539</f>
        <v>89192.22</v>
      </c>
      <c r="L539" s="208">
        <f>SUM(L463,L464,L494,L497,L501,L505,L509,L513,L517,L521,L525,L529,L533,L538)</f>
        <v>89192.22</v>
      </c>
      <c r="M539" s="208">
        <f>SUM(M463,M464,M494,M497,M501,M505,M509,M513,M517,M521,M525,M529,M533,M538)</f>
        <v>0</v>
      </c>
      <c r="N539" s="208">
        <f>SUM(N463,N464,N494,N497,N501,N505,N509,N513,N517,N521,N525,N529,N533,N538)</f>
        <v>0</v>
      </c>
      <c r="O539" s="207">
        <f>P539+R539</f>
        <v>0</v>
      </c>
      <c r="P539" s="208">
        <f>SUM(P463,P464,P494,P497,P501,P505,P509,P513,P517,P521,P525,P529,P533,P538)</f>
        <v>0</v>
      </c>
      <c r="Q539" s="208">
        <f>SUM(Q463,Q464,Q494,Q497,Q501,Q505,Q509,Q513,Q517,Q521,Q525,Q529,Q533,Q538)</f>
        <v>0</v>
      </c>
      <c r="R539" s="208">
        <f>SUM(R463,R464,R494,R497,R501,R505,R509,R513,R517,R521,R525,R529,R533,R538)</f>
        <v>0</v>
      </c>
      <c r="S539" s="207">
        <f>T539+V539</f>
        <v>5439378.8300000001</v>
      </c>
      <c r="T539" s="208">
        <f>SUM(T463,T464,T494,T497,T501,T505,T509,T513,T517,T521,T525,T529,T533,T538,T537)</f>
        <v>4356778.83</v>
      </c>
      <c r="U539" s="208">
        <f>SUM(U463,U464,U494,U497,U501,U505,U509,U513,U517,U521,U525,U529,U533,U538,U537)</f>
        <v>3549312</v>
      </c>
      <c r="V539" s="271">
        <f>SUM(V463,V464,V494,V497,V501,V505,V509,V513,V517,V521,V525,V529,V533,V538,V537)</f>
        <v>1082600</v>
      </c>
    </row>
    <row r="540" spans="1:23" ht="18.75" customHeight="1" thickBot="1" x14ac:dyDescent="0.25">
      <c r="A540" s="403"/>
      <c r="B540" s="413" t="s">
        <v>140</v>
      </c>
      <c r="C540" s="273">
        <f>D540+F540</f>
        <v>19297848.629999999</v>
      </c>
      <c r="D540" s="200">
        <f>SUM(D32,D183,D234,D298,D318,D461,D539)</f>
        <v>17526440.629999999</v>
      </c>
      <c r="E540" s="434">
        <f>SUM(E32,E183,E234,E298,E318,E461,E539)</f>
        <v>10379610</v>
      </c>
      <c r="F540" s="434">
        <f>SUM(F32,F183,F234,F298,F318,F461,F539)</f>
        <v>1771408</v>
      </c>
      <c r="G540" s="199">
        <f>H540+J540</f>
        <v>13125067</v>
      </c>
      <c r="H540" s="200">
        <f>SUM(H32,H183,H234,H298,H318,H461,H539)</f>
        <v>11897412.689999999</v>
      </c>
      <c r="I540" s="200">
        <f>SUM(I32,I183,I234,I298,I318,I461,I539)</f>
        <v>9146655.4000000004</v>
      </c>
      <c r="J540" s="200">
        <f>SUM(J32,J183,J234,J298,J318,J461,J539)</f>
        <v>1227654.31</v>
      </c>
      <c r="K540" s="199">
        <f>L540+N540</f>
        <v>1089670.1700000002</v>
      </c>
      <c r="L540" s="200">
        <f>SUM(L32,L183,L234,L298,L318,L461,L539)</f>
        <v>1079861.82</v>
      </c>
      <c r="M540" s="434">
        <f>SUM(M32,M183,M234,M298,M318,M461,M539)</f>
        <v>177200</v>
      </c>
      <c r="N540" s="200">
        <f>SUM(N32,N183,N234,N298,N318,N461,N539)</f>
        <v>9808.35</v>
      </c>
      <c r="O540" s="199">
        <f>P540+R540</f>
        <v>1104095.76</v>
      </c>
      <c r="P540" s="200">
        <f>SUM(P32,P183,P234,P298,P318,P461,P539)</f>
        <v>0</v>
      </c>
      <c r="Q540" s="200">
        <f>SUM(Q32,Q183,Q234,Q298,Q318,Q461,Q539)</f>
        <v>0</v>
      </c>
      <c r="R540" s="200">
        <f>SUM(R32,R183,R234,R298,R318,R461,R539)</f>
        <v>1104095.76</v>
      </c>
      <c r="S540" s="199">
        <f>T540+V540</f>
        <v>34616681.560000002</v>
      </c>
      <c r="T540" s="200">
        <f>D540+H540+L540+P540</f>
        <v>30503715.140000001</v>
      </c>
      <c r="U540" s="434">
        <f>E540+I540+M540+Q540</f>
        <v>19703465.399999999</v>
      </c>
      <c r="V540" s="211">
        <f>F540+J540+N540+R540</f>
        <v>4112966.42</v>
      </c>
    </row>
    <row r="541" spans="1:23" ht="24" customHeight="1" thickBot="1" x14ac:dyDescent="0.25">
      <c r="A541" s="404" t="s">
        <v>62</v>
      </c>
      <c r="B541" s="405" t="s">
        <v>374</v>
      </c>
      <c r="C541" s="439">
        <f t="shared" ref="C541" si="798">D541+F541</f>
        <v>837100</v>
      </c>
      <c r="D541" s="202"/>
      <c r="E541" s="416"/>
      <c r="F541" s="437">
        <f>SUM(F476+F477)</f>
        <v>837100</v>
      </c>
      <c r="G541" s="209">
        <f t="shared" ref="G541" si="799">H541+J541</f>
        <v>0</v>
      </c>
      <c r="H541" s="202"/>
      <c r="I541" s="202"/>
      <c r="J541" s="210"/>
      <c r="K541" s="201">
        <f t="shared" ref="K541" si="800">L541+N541</f>
        <v>0</v>
      </c>
      <c r="L541" s="202"/>
      <c r="M541" s="416"/>
      <c r="N541" s="224"/>
      <c r="O541" s="209">
        <f t="shared" ref="O541" si="801">P541+R541</f>
        <v>0</v>
      </c>
      <c r="P541" s="194"/>
      <c r="Q541" s="194"/>
      <c r="R541" s="224">
        <f>SUM(R476)</f>
        <v>0</v>
      </c>
      <c r="S541" s="439">
        <f t="shared" ref="S541" si="802">T541+V541</f>
        <v>837100</v>
      </c>
      <c r="T541" s="436">
        <f t="shared" ref="T541:V542" si="803">D541+H541+L541+P541</f>
        <v>0</v>
      </c>
      <c r="U541" s="436">
        <f t="shared" si="803"/>
        <v>0</v>
      </c>
      <c r="V541" s="440">
        <f t="shared" si="803"/>
        <v>837100</v>
      </c>
    </row>
    <row r="542" spans="1:23" ht="17.25" customHeight="1" thickBot="1" x14ac:dyDescent="0.25">
      <c r="A542" s="510" t="s">
        <v>478</v>
      </c>
      <c r="B542" s="511"/>
      <c r="C542" s="203">
        <f t="shared" ref="C542:Q542" si="804">C540-C541</f>
        <v>18460748.629999999</v>
      </c>
      <c r="D542" s="204">
        <f t="shared" si="804"/>
        <v>17526440.629999999</v>
      </c>
      <c r="E542" s="435">
        <f t="shared" si="804"/>
        <v>10379610</v>
      </c>
      <c r="F542" s="438">
        <f t="shared" si="804"/>
        <v>934308</v>
      </c>
      <c r="G542" s="203">
        <f t="shared" si="804"/>
        <v>13125067</v>
      </c>
      <c r="H542" s="204">
        <f t="shared" si="804"/>
        <v>11897412.689999999</v>
      </c>
      <c r="I542" s="435">
        <f t="shared" si="804"/>
        <v>9146655.4000000004</v>
      </c>
      <c r="J542" s="211">
        <f t="shared" si="804"/>
        <v>1227654.31</v>
      </c>
      <c r="K542" s="203">
        <f t="shared" si="804"/>
        <v>1089670.1700000002</v>
      </c>
      <c r="L542" s="204">
        <f t="shared" si="804"/>
        <v>1079861.82</v>
      </c>
      <c r="M542" s="435">
        <f t="shared" si="804"/>
        <v>177200</v>
      </c>
      <c r="N542" s="211">
        <f t="shared" si="804"/>
        <v>9808.35</v>
      </c>
      <c r="O542" s="203">
        <f t="shared" si="804"/>
        <v>1104095.76</v>
      </c>
      <c r="P542" s="204">
        <f t="shared" si="804"/>
        <v>0</v>
      </c>
      <c r="Q542" s="204">
        <f t="shared" si="804"/>
        <v>0</v>
      </c>
      <c r="R542" s="211">
        <f>R540-R541</f>
        <v>1104095.76</v>
      </c>
      <c r="S542" s="199">
        <f>T542+V542</f>
        <v>33779581.560000002</v>
      </c>
      <c r="T542" s="200">
        <f t="shared" si="803"/>
        <v>30503715.140000001</v>
      </c>
      <c r="U542" s="434">
        <f t="shared" si="803"/>
        <v>19703465.399999999</v>
      </c>
      <c r="V542" s="211">
        <f t="shared" si="803"/>
        <v>3275866.42</v>
      </c>
    </row>
    <row r="543" spans="1:23" ht="6" customHeight="1" x14ac:dyDescent="0.2"/>
    <row r="544" spans="1:23" x14ac:dyDescent="0.2">
      <c r="H544" s="133"/>
      <c r="I544" s="133"/>
      <c r="J544" s="133"/>
      <c r="K544" s="133"/>
    </row>
  </sheetData>
  <dataConsolidate/>
  <mergeCells count="36">
    <mergeCell ref="A542:B542"/>
    <mergeCell ref="A319:V319"/>
    <mergeCell ref="L11:M11"/>
    <mergeCell ref="K10:K12"/>
    <mergeCell ref="N11:N12"/>
    <mergeCell ref="D10:F10"/>
    <mergeCell ref="R11:R12"/>
    <mergeCell ref="H10:J10"/>
    <mergeCell ref="P10:R10"/>
    <mergeCell ref="A462:V462"/>
    <mergeCell ref="A8:A12"/>
    <mergeCell ref="T11:U11"/>
    <mergeCell ref="V11:V12"/>
    <mergeCell ref="A14:V14"/>
    <mergeCell ref="K8:N9"/>
    <mergeCell ref="A299:V299"/>
    <mergeCell ref="A235:V235"/>
    <mergeCell ref="L10:N10"/>
    <mergeCell ref="G10:G12"/>
    <mergeCell ref="H11:I11"/>
    <mergeCell ref="A33:V33"/>
    <mergeCell ref="J11:J12"/>
    <mergeCell ref="C10:C12"/>
    <mergeCell ref="O10:O12"/>
    <mergeCell ref="O8:R9"/>
    <mergeCell ref="A184:V184"/>
    <mergeCell ref="A6:V6"/>
    <mergeCell ref="T10:V10"/>
    <mergeCell ref="D11:E11"/>
    <mergeCell ref="F11:F12"/>
    <mergeCell ref="S8:V9"/>
    <mergeCell ref="P11:Q11"/>
    <mergeCell ref="S10:S12"/>
    <mergeCell ref="B8:B12"/>
    <mergeCell ref="C8:F9"/>
    <mergeCell ref="G8:J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4294967295" verticalDpi="4294967295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6</vt:i4>
      </vt:variant>
    </vt:vector>
  </HeadingPairs>
  <TitlesOfParts>
    <vt:vector size="12" baseType="lpstr">
      <vt:lpstr>pajamos-1</vt:lpstr>
      <vt:lpstr>sp.p.-2</vt:lpstr>
      <vt:lpstr>ml-3</vt:lpstr>
      <vt:lpstr>vald-4</vt:lpstr>
      <vt:lpstr>asign-5</vt:lpstr>
      <vt:lpstr>prog-6</vt:lpstr>
      <vt:lpstr>'asign-5'!Print_Area</vt:lpstr>
      <vt:lpstr>'prog-6'!Print_Area</vt:lpstr>
      <vt:lpstr>'asign-5'!Print_Titles</vt:lpstr>
      <vt:lpstr>'pajamos-1'!Print_Titles</vt:lpstr>
      <vt:lpstr>'prog-6'!Print_Titles</vt:lpstr>
      <vt:lpstr>'sp.p.-2'!Print_Titles</vt:lpstr>
    </vt:vector>
  </TitlesOfParts>
  <Company>Kelmės rajono savivaldybė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vidas</dc:creator>
  <cp:lastModifiedBy>Jurgita Janušauskienė</cp:lastModifiedBy>
  <cp:lastPrinted>2021-02-17T08:37:33Z</cp:lastPrinted>
  <dcterms:created xsi:type="dcterms:W3CDTF">2007-02-07T06:18:33Z</dcterms:created>
  <dcterms:modified xsi:type="dcterms:W3CDTF">2021-02-18T11:50:39Z</dcterms:modified>
</cp:coreProperties>
</file>